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<sst xmlns="http://schemas.openxmlformats.org/spreadsheetml/2006/main" count="180" uniqueCount="117">
  <si>
    <t>Đơn vị: Trường TH&amp;THCS Phong Đông</t>
  </si>
  <si>
    <t xml:space="preserve"> </t>
  </si>
  <si>
    <t>Mã QHNS: 1086677</t>
  </si>
  <si>
    <t xml:space="preserve">Mẫu số: C02-HD
(Ban hành kèm theo Thông tư 107/2017 ngày 10/10/2017 của Bộ trưởng Bộ Tài chính)
</t>
  </si>
  <si>
    <t>BẢNG THANH TOÁN TIỀN LƯƠNG VÀ CÁC KHOẢN PHỤ CẤP THEO LƯƠNG, CÁC KHOẢN TRÍCH NỘP THEO LƯƠNG</t>
  </si>
  <si>
    <t>THÁNG 03 NĂM 2020</t>
  </si>
  <si>
    <t>STT</t>
  </si>
  <si>
    <t>Họ và tên</t>
  </si>
  <si>
    <t xml:space="preserve">Mã </t>
  </si>
  <si>
    <t xml:space="preserve">H/S </t>
  </si>
  <si>
    <t>Tỉ lệ %</t>
  </si>
  <si>
    <t>H/S</t>
  </si>
  <si>
    <t>H/S P/C</t>
  </si>
  <si>
    <t xml:space="preserve">Cộng </t>
  </si>
  <si>
    <t xml:space="preserve">Tiền </t>
  </si>
  <si>
    <t>BHXH</t>
  </si>
  <si>
    <t>BHYT</t>
  </si>
  <si>
    <t>BHTN</t>
  </si>
  <si>
    <t>KPCĐ</t>
  </si>
  <si>
    <t xml:space="preserve">Tổng trừ </t>
  </si>
  <si>
    <t xml:space="preserve">Số </t>
  </si>
  <si>
    <t>Ký nhận</t>
  </si>
  <si>
    <t>.</t>
  </si>
  <si>
    <t>ngạch</t>
  </si>
  <si>
    <t>Lương</t>
  </si>
  <si>
    <t>Ch/Vụ</t>
  </si>
  <si>
    <t>TNVK</t>
  </si>
  <si>
    <t>TN NG</t>
  </si>
  <si>
    <t>Ư Đ NĐ116</t>
  </si>
  <si>
    <t>Ư Đ</t>
  </si>
  <si>
    <t>THU HÚT NĐ116</t>
  </si>
  <si>
    <t>T/Nh</t>
  </si>
  <si>
    <t>Đ/Hại</t>
  </si>
  <si>
    <t>hệ số</t>
  </si>
  <si>
    <t>lương tháng 3</t>
  </si>
  <si>
    <t>Trích vào KP</t>
  </si>
  <si>
    <t>Trừ vào lương</t>
  </si>
  <si>
    <t>thực lĩnh</t>
  </si>
  <si>
    <t>Mai Văn Hùng</t>
  </si>
  <si>
    <t>04.10</t>
  </si>
  <si>
    <t>Hà Thanh Dũng</t>
  </si>
  <si>
    <t>04.11</t>
  </si>
  <si>
    <t>Đặng Thị Nhiều</t>
  </si>
  <si>
    <t>03.08</t>
  </si>
  <si>
    <t>Nguyễn Minh Luân</t>
  </si>
  <si>
    <t>03.09</t>
  </si>
  <si>
    <t>Huỳnh Văn Ngát</t>
  </si>
  <si>
    <t>04.12</t>
  </si>
  <si>
    <t>Phạm Thị Thanh Vân</t>
  </si>
  <si>
    <t>Quách Ngọc Điệp</t>
  </si>
  <si>
    <t>Đặng Phú Nhịn</t>
  </si>
  <si>
    <t>Nguyễn Thị Bính</t>
  </si>
  <si>
    <t>Trần Hoài Thanh</t>
  </si>
  <si>
    <t>Huỳnh Văn Thái</t>
  </si>
  <si>
    <t>Võ Lâm Cẩm Nhung</t>
  </si>
  <si>
    <t>Mai Công Bình</t>
  </si>
  <si>
    <t>Nguyễn Văn Dũ</t>
  </si>
  <si>
    <t>Danh Hồng Dân</t>
  </si>
  <si>
    <t>Ngô Kim Thuỷ</t>
  </si>
  <si>
    <t>Lê Văn Thắng</t>
  </si>
  <si>
    <t>03.07</t>
  </si>
  <si>
    <t>Võ Thanh Liêm</t>
  </si>
  <si>
    <t>Nguyễn Dũng Tiến</t>
  </si>
  <si>
    <t>Lưu Thanh Việt</t>
  </si>
  <si>
    <t>Phạm Văn Hạnh</t>
  </si>
  <si>
    <t>Hồ Văn Xuân</t>
  </si>
  <si>
    <t>Danh Bil</t>
  </si>
  <si>
    <t>Nguyễn Thành Út</t>
  </si>
  <si>
    <t>Huỳnh Văn Tú Em</t>
  </si>
  <si>
    <t>Phạm Thanh Vững</t>
  </si>
  <si>
    <t>Châu Sơn Hổ</t>
  </si>
  <si>
    <t>Lưu Thanh Tiền</t>
  </si>
  <si>
    <t>Danh Thương</t>
  </si>
  <si>
    <t>Mai Ngọc Hạnh</t>
  </si>
  <si>
    <t>Đào Xuân Anh</t>
  </si>
  <si>
    <t>Danh Sóc Thi</t>
  </si>
  <si>
    <t>Ngô Minh Nhựt</t>
  </si>
  <si>
    <t>Trương Thị Mỹ Duyên</t>
  </si>
  <si>
    <t>Trần Văn Tấn</t>
  </si>
  <si>
    <t>Phan Văn Tuấn</t>
  </si>
  <si>
    <t>Danh Na Qua Ni</t>
  </si>
  <si>
    <t>Nguyễn Thị Xuân</t>
  </si>
  <si>
    <t>Đào Huy Lanh</t>
  </si>
  <si>
    <t>03.10</t>
  </si>
  <si>
    <t>Nguyễn Văn Tỵ</t>
  </si>
  <si>
    <t>Phạm Thị Mai Hương</t>
  </si>
  <si>
    <t>Danh Trường Giang</t>
  </si>
  <si>
    <t>Huỳnh Hoàng Voi</t>
  </si>
  <si>
    <t>Đặng Thị Dình</t>
  </si>
  <si>
    <t>Sử Văn Hiệp</t>
  </si>
  <si>
    <t>Huỳnh Văn Dũ</t>
  </si>
  <si>
    <t>Danh Út</t>
  </si>
  <si>
    <t>Lâm Trung Kiên</t>
  </si>
  <si>
    <t>Đặng Thị Mỹ Duyên</t>
  </si>
  <si>
    <t>Nguyễn Thùy Dung</t>
  </si>
  <si>
    <t>Lê Thị Huyền Trang</t>
  </si>
  <si>
    <t>Danh Vũ Hiền</t>
  </si>
  <si>
    <t>La Ngọc Ẩn</t>
  </si>
  <si>
    <t>01.011</t>
  </si>
  <si>
    <t>Lương Thị Cẩm Nguyên</t>
  </si>
  <si>
    <t>Nguyễn Thị Trắng</t>
  </si>
  <si>
    <t>Nguyễn Thị Mộng Cầm</t>
  </si>
  <si>
    <t>Cộng chung</t>
  </si>
  <si>
    <t xml:space="preserve">* Ghi chú : </t>
  </si>
  <si>
    <t>Giảm Phụ cấp thu hút 70% sang 5%</t>
  </si>
  <si>
    <t>Phong Đông, ngày 03 tháng 03 năm 2020</t>
  </si>
  <si>
    <t>KẾ TOÁN</t>
  </si>
  <si>
    <t xml:space="preserve"> Đặng Thị Dình: 3.34 ( Hậu sản)</t>
  </si>
  <si>
    <t>1/ Đặng Phú Nhịn</t>
  </si>
  <si>
    <t>Thủ trưởng đơn vị</t>
  </si>
  <si>
    <t xml:space="preserve">2/ Nguyễn Thị Bính </t>
  </si>
  <si>
    <t>3/ Danh Hồng Dân</t>
  </si>
  <si>
    <t>4/ Danh Bil</t>
  </si>
  <si>
    <t xml:space="preserve">5/ Lưu Thanh Tiền </t>
  </si>
  <si>
    <t>6/ Mai Ngọc Hạnh</t>
  </si>
  <si>
    <t xml:space="preserve">7/ Trần Văn Tấn </t>
  </si>
  <si>
    <t>8/ Sử Văn Hiệp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</si>
</sst>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_(* #,##0.0000_);_(* \(#,##0.0000\);_(* &quot;-&quot;??_);_(@_)"/>
    <numFmt numFmtId="166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3" fontId="21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43" fontId="24" fillId="0" borderId="0" xfId="42" applyFont="1" applyFill="1" applyBorder="1" applyAlignment="1">
      <alignment horizontal="center"/>
    </xf>
    <xf numFmtId="43" fontId="24" fillId="0" borderId="0" xfId="42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4" fillId="0" borderId="0" xfId="0" applyNumberFormat="1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 shrinkToFit="1"/>
    </xf>
    <xf numFmtId="0" fontId="18" fillId="0" borderId="12" xfId="0" applyFont="1" applyFill="1" applyBorder="1" applyAlignment="1">
      <alignment horizontal="center" vertical="center" wrapText="1" shrinkToFit="1"/>
    </xf>
    <xf numFmtId="0" fontId="18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8" fillId="0" borderId="16" xfId="0" applyFont="1" applyFill="1" applyBorder="1" applyAlignment="1">
      <alignment horizontal="center" vertical="center" wrapText="1" shrinkToFit="1"/>
    </xf>
    <xf numFmtId="0" fontId="18" fillId="0" borderId="16" xfId="0" applyFont="1" applyFill="1" applyBorder="1" applyAlignment="1">
      <alignment vertical="center" wrapText="1" shrinkToFit="1"/>
    </xf>
    <xf numFmtId="0" fontId="18" fillId="0" borderId="17" xfId="0" applyFont="1" applyFill="1" applyBorder="1" applyAlignment="1">
      <alignment horizontal="center" vertical="center" wrapText="1" shrinkToFit="1"/>
    </xf>
    <xf numFmtId="0" fontId="24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vertical="center"/>
    </xf>
    <xf numFmtId="0" fontId="19" fillId="0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/>
    </xf>
    <xf numFmtId="0" fontId="19" fillId="0" borderId="18" xfId="0" applyFont="1" applyFill="1" applyBorder="1" applyAlignment="1" quotePrefix="1">
      <alignment horizontal="center" vertical="center"/>
    </xf>
    <xf numFmtId="43" fontId="29" fillId="0" borderId="18" xfId="42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 vertical="center"/>
    </xf>
    <xf numFmtId="9" fontId="19" fillId="0" borderId="18" xfId="0" applyNumberFormat="1" applyFont="1" applyFill="1" applyBorder="1" applyAlignment="1">
      <alignment horizontal="center" vertical="center"/>
    </xf>
    <xf numFmtId="9" fontId="29" fillId="0" borderId="18" xfId="57" applyFont="1" applyFill="1" applyBorder="1" applyAlignment="1">
      <alignment/>
    </xf>
    <xf numFmtId="164" fontId="19" fillId="0" borderId="18" xfId="0" applyNumberFormat="1" applyFont="1" applyFill="1" applyBorder="1" applyAlignment="1">
      <alignment horizontal="center" vertical="center"/>
    </xf>
    <xf numFmtId="4" fontId="19" fillId="33" borderId="18" xfId="0" applyNumberFormat="1" applyFont="1" applyFill="1" applyBorder="1" applyAlignment="1">
      <alignment horizontal="center" vertical="center"/>
    </xf>
    <xf numFmtId="43" fontId="19" fillId="0" borderId="18" xfId="42" applyFont="1" applyFill="1" applyBorder="1" applyAlignment="1">
      <alignment vertical="center"/>
    </xf>
    <xf numFmtId="3" fontId="21" fillId="0" borderId="18" xfId="0" applyNumberFormat="1" applyFont="1" applyFill="1" applyBorder="1" applyAlignment="1">
      <alignment vertical="center"/>
    </xf>
    <xf numFmtId="3" fontId="19" fillId="0" borderId="18" xfId="0" applyNumberFormat="1" applyFont="1" applyFill="1" applyBorder="1" applyAlignment="1">
      <alignment vertical="center"/>
    </xf>
    <xf numFmtId="3" fontId="30" fillId="0" borderId="18" xfId="0" applyNumberFormat="1" applyFont="1" applyFill="1" applyBorder="1" applyAlignment="1">
      <alignment vertical="center"/>
    </xf>
    <xf numFmtId="3" fontId="22" fillId="0" borderId="18" xfId="0" applyNumberFormat="1" applyFont="1" applyFill="1" applyBorder="1" applyAlignment="1">
      <alignment vertical="center"/>
    </xf>
    <xf numFmtId="43" fontId="19" fillId="0" borderId="0" xfId="42" applyFont="1" applyFill="1" applyAlignment="1">
      <alignment vertical="center"/>
    </xf>
    <xf numFmtId="165" fontId="19" fillId="0" borderId="18" xfId="42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/>
    </xf>
    <xf numFmtId="43" fontId="29" fillId="0" borderId="18" xfId="42" applyFont="1" applyFill="1" applyBorder="1" applyAlignment="1" quotePrefix="1">
      <alignment/>
    </xf>
    <xf numFmtId="0" fontId="29" fillId="0" borderId="18" xfId="0" applyFont="1" applyFill="1" applyBorder="1" applyAlignment="1">
      <alignment/>
    </xf>
    <xf numFmtId="164" fontId="19" fillId="33" borderId="18" xfId="0" applyNumberFormat="1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>
      <alignment vertical="center"/>
    </xf>
    <xf numFmtId="43" fontId="29" fillId="0" borderId="18" xfId="42" applyFont="1" applyFill="1" applyBorder="1" applyAlignment="1" quotePrefix="1">
      <alignment horizontal="center" vertical="center" wrapText="1"/>
    </xf>
    <xf numFmtId="43" fontId="19" fillId="0" borderId="18" xfId="42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>
      <alignment horizontal="left" vertical="center"/>
    </xf>
    <xf numFmtId="43" fontId="29" fillId="0" borderId="18" xfId="42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/>
    </xf>
    <xf numFmtId="0" fontId="29" fillId="0" borderId="18" xfId="0" applyFont="1" applyFill="1" applyBorder="1" applyAlignment="1">
      <alignment horizontal="left" vertical="center"/>
    </xf>
    <xf numFmtId="0" fontId="26" fillId="0" borderId="18" xfId="0" applyNumberFormat="1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/>
    </xf>
    <xf numFmtId="43" fontId="31" fillId="0" borderId="18" xfId="42" applyFont="1" applyFill="1" applyBorder="1" applyAlignment="1" quotePrefix="1">
      <alignment horizontal="center" vertical="center" wrapText="1"/>
    </xf>
    <xf numFmtId="43" fontId="29" fillId="0" borderId="18" xfId="42" applyFont="1" applyFill="1" applyBorder="1" applyAlignment="1">
      <alignment/>
    </xf>
    <xf numFmtId="0" fontId="22" fillId="0" borderId="18" xfId="0" applyFont="1" applyFill="1" applyBorder="1" applyAlignment="1" quotePrefix="1">
      <alignment horizontal="center" vertical="center"/>
    </xf>
    <xf numFmtId="0" fontId="26" fillId="0" borderId="18" xfId="0" applyFont="1" applyFill="1" applyBorder="1" applyAlignment="1">
      <alignment/>
    </xf>
    <xf numFmtId="0" fontId="32" fillId="0" borderId="18" xfId="0" applyFont="1" applyFill="1" applyBorder="1" applyAlignment="1" quotePrefix="1">
      <alignment horizontal="center" vertical="center"/>
    </xf>
    <xf numFmtId="0" fontId="22" fillId="0" borderId="18" xfId="0" applyFont="1" applyFill="1" applyBorder="1" applyAlignment="1">
      <alignment/>
    </xf>
    <xf numFmtId="164" fontId="19" fillId="0" borderId="18" xfId="0" applyNumberFormat="1" applyFont="1" applyFill="1" applyBorder="1" applyAlignment="1">
      <alignment horizontal="right" vertical="center"/>
    </xf>
    <xf numFmtId="3" fontId="25" fillId="0" borderId="18" xfId="0" applyNumberFormat="1" applyFont="1" applyFill="1" applyBorder="1" applyAlignment="1">
      <alignment vertical="center"/>
    </xf>
    <xf numFmtId="0" fontId="22" fillId="33" borderId="18" xfId="0" applyFont="1" applyFill="1" applyBorder="1" applyAlignment="1">
      <alignment/>
    </xf>
    <xf numFmtId="0" fontId="19" fillId="33" borderId="18" xfId="0" applyFont="1" applyFill="1" applyBorder="1" applyAlignment="1" quotePrefix="1">
      <alignment horizontal="center" vertical="center"/>
    </xf>
    <xf numFmtId="3" fontId="25" fillId="0" borderId="14" xfId="0" applyNumberFormat="1" applyFont="1" applyFill="1" applyBorder="1" applyAlignment="1">
      <alignment vertical="center"/>
    </xf>
    <xf numFmtId="0" fontId="26" fillId="0" borderId="18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43" fontId="33" fillId="0" borderId="18" xfId="42" applyFont="1" applyFill="1" applyBorder="1" applyAlignment="1">
      <alignment vertical="center"/>
    </xf>
    <xf numFmtId="3" fontId="33" fillId="0" borderId="14" xfId="42" applyNumberFormat="1" applyFont="1" applyFill="1" applyBorder="1" applyAlignment="1">
      <alignment vertical="center"/>
    </xf>
    <xf numFmtId="43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18" fillId="0" borderId="2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3" fontId="19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9" fillId="0" borderId="0" xfId="42" applyNumberFormat="1" applyFont="1" applyFill="1" applyAlignment="1">
      <alignment horizontal="center"/>
    </xf>
    <xf numFmtId="3" fontId="22" fillId="0" borderId="2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9" fontId="19" fillId="0" borderId="0" xfId="0" applyNumberFormat="1" applyFont="1" applyFill="1" applyAlignment="1">
      <alignment/>
    </xf>
    <xf numFmtId="9" fontId="18" fillId="0" borderId="0" xfId="0" applyNumberFormat="1" applyFont="1" applyFill="1" applyAlignment="1">
      <alignment/>
    </xf>
    <xf numFmtId="0" fontId="20" fillId="0" borderId="0" xfId="0" applyFont="1" applyFill="1" applyAlignment="1">
      <alignment vertical="center"/>
    </xf>
    <xf numFmtId="166" fontId="22" fillId="0" borderId="0" xfId="42" applyNumberFormat="1" applyFont="1" applyFill="1" applyAlignment="1">
      <alignment/>
    </xf>
    <xf numFmtId="0" fontId="22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 quotePrefix="1">
      <alignment vertical="center"/>
    </xf>
    <xf numFmtId="0" fontId="19" fillId="0" borderId="0" xfId="0" applyFont="1" applyFill="1" applyAlignment="1" quotePrefix="1">
      <alignment horizontal="left" vertical="top"/>
    </xf>
    <xf numFmtId="0" fontId="19" fillId="0" borderId="0" xfId="0" applyFont="1" applyFill="1" applyAlignment="1">
      <alignment horizontal="left" vertical="top"/>
    </xf>
    <xf numFmtId="166" fontId="19" fillId="0" borderId="0" xfId="42" applyNumberFormat="1" applyFont="1" applyFill="1" applyAlignment="1">
      <alignment horizontal="left" vertical="top"/>
    </xf>
    <xf numFmtId="9" fontId="19" fillId="0" borderId="0" xfId="42" applyNumberFormat="1" applyFont="1" applyFill="1" applyAlignment="1">
      <alignment vertical="center"/>
    </xf>
    <xf numFmtId="43" fontId="22" fillId="0" borderId="0" xfId="42" applyFont="1" applyFill="1" applyAlignment="1">
      <alignment vertical="center"/>
    </xf>
    <xf numFmtId="43" fontId="22" fillId="0" borderId="0" xfId="42" applyFont="1" applyFill="1" applyAlignment="1">
      <alignment horizontal="center" vertical="center"/>
    </xf>
    <xf numFmtId="166" fontId="24" fillId="0" borderId="0" xfId="42" applyNumberFormat="1" applyFont="1" applyFill="1" applyAlignment="1">
      <alignment/>
    </xf>
    <xf numFmtId="0" fontId="35" fillId="0" borderId="0" xfId="0" applyFont="1" applyFill="1" applyAlignment="1">
      <alignment vertical="center"/>
    </xf>
    <xf numFmtId="166" fontId="20" fillId="0" borderId="0" xfId="42" applyNumberFormat="1" applyFont="1" applyFill="1" applyAlignment="1">
      <alignment horizontal="center"/>
    </xf>
    <xf numFmtId="166" fontId="19" fillId="0" borderId="0" xfId="42" applyNumberFormat="1" applyFont="1" applyFill="1" applyAlignment="1">
      <alignment/>
    </xf>
    <xf numFmtId="0" fontId="19" fillId="0" borderId="0" xfId="0" applyFont="1" applyFill="1" applyAlignment="1" quotePrefix="1">
      <alignment/>
    </xf>
    <xf numFmtId="9" fontId="19" fillId="0" borderId="0" xfId="0" applyNumberFormat="1" applyFont="1" applyFill="1" applyAlignment="1" quotePrefix="1">
      <alignment/>
    </xf>
    <xf numFmtId="9" fontId="19" fillId="0" borderId="0" xfId="0" applyNumberFormat="1" applyFont="1" applyFill="1" applyAlignment="1">
      <alignment/>
    </xf>
    <xf numFmtId="3" fontId="53" fillId="0" borderId="0" xfId="0" applyNumberFormat="1" applyFont="1" applyFill="1" applyAlignment="1">
      <alignment/>
    </xf>
    <xf numFmtId="43" fontId="22" fillId="0" borderId="0" xfId="42" applyFont="1" applyFill="1" applyAlignment="1">
      <alignment horizontal="left" vertical="center"/>
    </xf>
    <xf numFmtId="43" fontId="24" fillId="0" borderId="0" xfId="42" applyFont="1" applyFill="1" applyAlignment="1">
      <alignment horizontal="left" vertical="center"/>
    </xf>
    <xf numFmtId="3" fontId="18" fillId="0" borderId="0" xfId="0" applyNumberFormat="1" applyFont="1" applyFill="1" applyAlignment="1">
      <alignment horizontal="left"/>
    </xf>
    <xf numFmtId="166" fontId="19" fillId="0" borderId="0" xfId="42" applyNumberFormat="1" applyFont="1" applyFill="1" applyAlignment="1" quotePrefix="1">
      <alignment/>
    </xf>
    <xf numFmtId="0" fontId="18" fillId="0" borderId="0" xfId="0" applyFont="1" applyFill="1" applyAlignment="1">
      <alignment horizontal="left" vertical="top"/>
    </xf>
    <xf numFmtId="0" fontId="19" fillId="0" borderId="0" xfId="0" applyFont="1" applyFill="1" applyAlignment="1">
      <alignment/>
    </xf>
    <xf numFmtId="166" fontId="29" fillId="0" borderId="0" xfId="42" applyNumberFormat="1" applyFont="1" applyFill="1" applyAlignment="1">
      <alignment/>
    </xf>
    <xf numFmtId="43" fontId="53" fillId="0" borderId="0" xfId="42" applyFont="1" applyFill="1" applyAlignment="1">
      <alignment/>
    </xf>
    <xf numFmtId="43" fontId="22" fillId="0" borderId="0" xfId="42" applyFont="1" applyFill="1" applyAlignment="1">
      <alignment/>
    </xf>
    <xf numFmtId="3" fontId="24" fillId="0" borderId="0" xfId="0" applyNumberFormat="1" applyFont="1" applyFill="1" applyAlignment="1">
      <alignment horizontal="left"/>
    </xf>
    <xf numFmtId="166" fontId="23" fillId="0" borderId="0" xfId="42" applyNumberFormat="1" applyFont="1" applyFill="1" applyAlignment="1" quotePrefix="1">
      <alignment/>
    </xf>
    <xf numFmtId="166" fontId="23" fillId="0" borderId="0" xfId="42" applyNumberFormat="1" applyFont="1" applyFill="1" applyAlignment="1">
      <alignment/>
    </xf>
    <xf numFmtId="166" fontId="22" fillId="0" borderId="0" xfId="42" applyNumberFormat="1" applyFont="1" applyFill="1" applyAlignment="1">
      <alignment horizontal="left" vertical="center"/>
    </xf>
    <xf numFmtId="166" fontId="24" fillId="0" borderId="0" xfId="42" applyNumberFormat="1" applyFont="1" applyFill="1" applyAlignment="1">
      <alignment horizontal="left" vertical="center"/>
    </xf>
    <xf numFmtId="9" fontId="22" fillId="0" borderId="0" xfId="0" applyNumberFormat="1" applyFont="1" applyFill="1" applyAlignment="1">
      <alignment/>
    </xf>
    <xf numFmtId="166" fontId="34" fillId="0" borderId="0" xfId="42" applyNumberFormat="1" applyFont="1" applyFill="1" applyAlignment="1">
      <alignment/>
    </xf>
    <xf numFmtId="0" fontId="23" fillId="0" borderId="0" xfId="0" applyFont="1" applyFill="1" applyAlignment="1" quotePrefix="1">
      <alignment/>
    </xf>
    <xf numFmtId="0" fontId="22" fillId="0" borderId="0" xfId="0" applyFont="1" applyFill="1" applyAlignment="1" quotePrefix="1">
      <alignment/>
    </xf>
    <xf numFmtId="0" fontId="24" fillId="0" borderId="0" xfId="0" applyFont="1" applyFill="1" applyAlignment="1" quotePrefix="1">
      <alignment/>
    </xf>
    <xf numFmtId="166" fontId="31" fillId="0" borderId="0" xfId="42" applyNumberFormat="1" applyFont="1" applyFill="1" applyAlignment="1" quotePrefix="1">
      <alignment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66" fontId="19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43" fontId="22" fillId="0" borderId="0" xfId="42" applyFont="1" applyFill="1" applyBorder="1" applyAlignment="1">
      <alignment horizontal="center"/>
    </xf>
    <xf numFmtId="43" fontId="19" fillId="0" borderId="0" xfId="42" applyFont="1" applyFill="1" applyBorder="1" applyAlignment="1" applyProtection="1">
      <alignment horizontal="center"/>
      <protection locked="0"/>
    </xf>
    <xf numFmtId="43" fontId="22" fillId="0" borderId="0" xfId="42" applyFont="1" applyFill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43" fontId="19" fillId="0" borderId="0" xfId="42" applyFont="1" applyFill="1" applyAlignment="1">
      <alignment/>
    </xf>
    <xf numFmtId="43" fontId="19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533400</xdr:colOff>
      <xdr:row>0</xdr:row>
      <xdr:rowOff>209550</xdr:rowOff>
    </xdr:from>
    <xdr:to>
      <xdr:col>24</xdr:col>
      <xdr:colOff>638175</xdr:colOff>
      <xdr:row>3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2363450" y="209550"/>
          <a:ext cx="2686050" cy="647700"/>
        </a:xfrm>
        <a:prstGeom prst="rect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4.28125" style="2" customWidth="1"/>
    <col min="2" max="2" width="17.28125" style="2" customWidth="1"/>
    <col min="3" max="3" width="6.00390625" style="2" customWidth="1"/>
    <col min="4" max="4" width="8.00390625" style="2" bestFit="1" customWidth="1"/>
    <col min="5" max="5" width="6.140625" style="2" customWidth="1"/>
    <col min="6" max="6" width="7.00390625" style="2" customWidth="1"/>
    <col min="7" max="7" width="8.7109375" style="2" customWidth="1"/>
    <col min="8" max="8" width="8.421875" style="2" customWidth="1"/>
    <col min="9" max="9" width="8.57421875" style="2" customWidth="1"/>
    <col min="10" max="10" width="9.28125" style="2" customWidth="1"/>
    <col min="11" max="11" width="8.421875" style="2" customWidth="1"/>
    <col min="12" max="12" width="8.8515625" style="2" customWidth="1"/>
    <col min="13" max="13" width="6.00390625" style="2" customWidth="1"/>
    <col min="14" max="14" width="5.8515625" style="2" customWidth="1"/>
    <col min="15" max="15" width="7.57421875" style="2" bestFit="1" customWidth="1"/>
    <col min="16" max="16" width="12.7109375" style="2" customWidth="1"/>
    <col min="17" max="17" width="14.140625" style="2" bestFit="1" customWidth="1"/>
    <col min="18" max="18" width="10.140625" style="2" customWidth="1"/>
    <col min="19" max="19" width="11.00390625" style="2" customWidth="1"/>
    <col min="20" max="20" width="9.00390625" style="2" customWidth="1"/>
    <col min="21" max="21" width="9.7109375" style="119" customWidth="1"/>
    <col min="22" max="22" width="9.421875" style="2" customWidth="1"/>
    <col min="23" max="23" width="10.57421875" style="2" customWidth="1"/>
    <col min="24" max="24" width="9.00390625" style="2" customWidth="1"/>
    <col min="25" max="25" width="9.8515625" style="5" bestFit="1" customWidth="1"/>
    <col min="26" max="26" width="11.421875" style="5" bestFit="1" customWidth="1"/>
    <col min="27" max="27" width="7.421875" style="2" bestFit="1" customWidth="1"/>
    <col min="28" max="28" width="16.28125" style="2" bestFit="1" customWidth="1"/>
    <col min="29" max="29" width="16.57421875" style="2" bestFit="1" customWidth="1"/>
    <col min="30" max="16384" width="9.140625" style="2" customWidth="1"/>
  </cols>
  <sheetData>
    <row r="1" spans="1:21" ht="16.5">
      <c r="A1" s="1" t="s">
        <v>0</v>
      </c>
      <c r="B1" s="1"/>
      <c r="C1" s="1"/>
      <c r="F1" s="3"/>
      <c r="G1" s="3" t="s">
        <v>1</v>
      </c>
      <c r="H1" s="3"/>
      <c r="I1" s="3"/>
      <c r="J1" s="3"/>
      <c r="K1" s="3"/>
      <c r="L1" s="3"/>
      <c r="M1" s="3"/>
      <c r="N1" s="3"/>
      <c r="O1" s="3"/>
      <c r="P1" s="3"/>
      <c r="T1" s="4"/>
      <c r="U1" s="4"/>
    </row>
    <row r="2" spans="1:25" ht="18.75">
      <c r="A2" s="1" t="s">
        <v>2</v>
      </c>
      <c r="B2" s="1"/>
      <c r="C2" s="1"/>
      <c r="F2" s="6"/>
      <c r="G2" s="6"/>
      <c r="H2" s="7"/>
      <c r="I2" s="7"/>
      <c r="J2" s="8"/>
      <c r="K2" s="6"/>
      <c r="L2" s="6"/>
      <c r="M2" s="6"/>
      <c r="N2" s="6"/>
      <c r="O2" s="6"/>
      <c r="P2" s="6"/>
      <c r="T2" s="9"/>
      <c r="U2" s="10"/>
      <c r="V2" s="11" t="s">
        <v>3</v>
      </c>
      <c r="W2" s="11"/>
      <c r="X2" s="11"/>
      <c r="Y2" s="11"/>
    </row>
    <row r="3" spans="1:25" ht="18.75">
      <c r="A3" s="1"/>
      <c r="B3" s="1"/>
      <c r="C3" s="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T3" s="9"/>
      <c r="U3" s="10"/>
      <c r="V3" s="11"/>
      <c r="W3" s="11"/>
      <c r="X3" s="11"/>
      <c r="Y3" s="11"/>
    </row>
    <row r="4" spans="1:25" ht="15.75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1"/>
      <c r="W4" s="11"/>
      <c r="X4" s="11"/>
      <c r="Y4" s="11"/>
    </row>
    <row r="5" spans="1:21" ht="15.75">
      <c r="A5" s="14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7" s="25" customFormat="1" ht="31.5">
      <c r="A6" s="15" t="s">
        <v>6</v>
      </c>
      <c r="B6" s="15" t="s">
        <v>7</v>
      </c>
      <c r="C6" s="16" t="s">
        <v>8</v>
      </c>
      <c r="D6" s="17" t="s">
        <v>9</v>
      </c>
      <c r="E6" s="17" t="s">
        <v>9</v>
      </c>
      <c r="F6" s="17" t="s">
        <v>10</v>
      </c>
      <c r="G6" s="17" t="s">
        <v>11</v>
      </c>
      <c r="H6" s="17" t="s">
        <v>10</v>
      </c>
      <c r="I6" s="17" t="s">
        <v>12</v>
      </c>
      <c r="J6" s="17" t="s">
        <v>12</v>
      </c>
      <c r="K6" s="17" t="s">
        <v>12</v>
      </c>
      <c r="L6" s="17" t="s">
        <v>11</v>
      </c>
      <c r="M6" s="17" t="s">
        <v>9</v>
      </c>
      <c r="N6" s="17" t="s">
        <v>9</v>
      </c>
      <c r="O6" s="18" t="s">
        <v>13</v>
      </c>
      <c r="P6" s="18" t="s">
        <v>14</v>
      </c>
      <c r="Q6" s="19" t="s">
        <v>15</v>
      </c>
      <c r="R6" s="20"/>
      <c r="S6" s="21" t="s">
        <v>16</v>
      </c>
      <c r="T6" s="22"/>
      <c r="U6" s="21" t="s">
        <v>17</v>
      </c>
      <c r="V6" s="22"/>
      <c r="W6" s="21" t="s">
        <v>18</v>
      </c>
      <c r="X6" s="22"/>
      <c r="Y6" s="23" t="s">
        <v>19</v>
      </c>
      <c r="Z6" s="18" t="s">
        <v>20</v>
      </c>
      <c r="AA6" s="24" t="s">
        <v>21</v>
      </c>
    </row>
    <row r="7" spans="1:27" s="25" customFormat="1" ht="31.5">
      <c r="A7" s="26"/>
      <c r="B7" s="27" t="s">
        <v>22</v>
      </c>
      <c r="C7" s="28" t="s">
        <v>23</v>
      </c>
      <c r="D7" s="29" t="s">
        <v>24</v>
      </c>
      <c r="E7" s="29" t="s">
        <v>25</v>
      </c>
      <c r="F7" s="29" t="s">
        <v>26</v>
      </c>
      <c r="G7" s="29" t="s">
        <v>26</v>
      </c>
      <c r="H7" s="29" t="s">
        <v>27</v>
      </c>
      <c r="I7" s="29" t="s">
        <v>27</v>
      </c>
      <c r="J7" s="29" t="s">
        <v>28</v>
      </c>
      <c r="K7" s="29" t="s">
        <v>29</v>
      </c>
      <c r="L7" s="29" t="s">
        <v>30</v>
      </c>
      <c r="M7" s="29" t="s">
        <v>31</v>
      </c>
      <c r="N7" s="29" t="s">
        <v>32</v>
      </c>
      <c r="O7" s="29" t="s">
        <v>33</v>
      </c>
      <c r="P7" s="29" t="s">
        <v>34</v>
      </c>
      <c r="Q7" s="30" t="s">
        <v>35</v>
      </c>
      <c r="R7" s="31" t="s">
        <v>36</v>
      </c>
      <c r="S7" s="32" t="s">
        <v>35</v>
      </c>
      <c r="T7" s="33" t="s">
        <v>36</v>
      </c>
      <c r="U7" s="32" t="s">
        <v>35</v>
      </c>
      <c r="V7" s="33" t="s">
        <v>36</v>
      </c>
      <c r="W7" s="32" t="s">
        <v>35</v>
      </c>
      <c r="X7" s="33" t="s">
        <v>36</v>
      </c>
      <c r="Y7" s="34"/>
      <c r="Z7" s="30" t="s">
        <v>37</v>
      </c>
      <c r="AA7" s="35"/>
    </row>
    <row r="8" spans="1:27" s="38" customFormat="1" ht="19.5" customHeight="1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/>
      <c r="K8" s="36">
        <v>10</v>
      </c>
      <c r="L8" s="36">
        <v>11</v>
      </c>
      <c r="M8" s="36">
        <v>12</v>
      </c>
      <c r="N8" s="36">
        <v>13</v>
      </c>
      <c r="O8" s="36">
        <v>14</v>
      </c>
      <c r="P8" s="36">
        <v>15</v>
      </c>
      <c r="Q8" s="36">
        <v>16</v>
      </c>
      <c r="R8" s="36">
        <v>17</v>
      </c>
      <c r="S8" s="36">
        <v>18</v>
      </c>
      <c r="T8" s="36">
        <v>19</v>
      </c>
      <c r="U8" s="36">
        <v>20</v>
      </c>
      <c r="V8" s="36">
        <v>21</v>
      </c>
      <c r="W8" s="36">
        <v>22</v>
      </c>
      <c r="X8" s="36">
        <v>23</v>
      </c>
      <c r="Y8" s="37">
        <v>24</v>
      </c>
      <c r="Z8" s="37">
        <v>25</v>
      </c>
      <c r="AA8" s="36">
        <v>26</v>
      </c>
    </row>
    <row r="9" spans="1:29" s="38" customFormat="1" ht="19.5" customHeight="1">
      <c r="A9" s="39">
        <f>IF(B9="","",1)</f>
        <v>1</v>
      </c>
      <c r="B9" s="40" t="s">
        <v>38</v>
      </c>
      <c r="C9" s="41" t="s">
        <v>39</v>
      </c>
      <c r="D9" s="42">
        <v>4.34</v>
      </c>
      <c r="E9" s="43">
        <v>0.55</v>
      </c>
      <c r="F9" s="44"/>
      <c r="G9" s="43">
        <f>D9*F9</f>
        <v>0</v>
      </c>
      <c r="H9" s="45">
        <v>0.19</v>
      </c>
      <c r="I9" s="46">
        <f>SUM(D9:E9,G9)*H9</f>
        <v>0.9290999999999999</v>
      </c>
      <c r="J9" s="46">
        <f>(D9+E9+G9)*0.35</f>
        <v>1.7114999999999998</v>
      </c>
      <c r="K9" s="46">
        <f>SUM(D9:E9,G9)*35%</f>
        <v>1.7114999999999998</v>
      </c>
      <c r="L9" s="46">
        <v>0.5</v>
      </c>
      <c r="M9" s="47">
        <v>0.3</v>
      </c>
      <c r="N9" s="43"/>
      <c r="O9" s="48">
        <f>SUM(D9:E9,G9,I9:N9)</f>
        <v>10.0421</v>
      </c>
      <c r="P9" s="49">
        <f>O9*1490000</f>
        <v>14962729</v>
      </c>
      <c r="Q9" s="50">
        <f>SUM(D9:E9,G9,I9)*1490000*17.5%</f>
        <v>1517330.325</v>
      </c>
      <c r="R9" s="50">
        <f>SUM(D9:E9,I9,G9)*1490000*8%</f>
        <v>693636.72</v>
      </c>
      <c r="S9" s="50">
        <f>SUM(D9:E9,G9,I9)*1490000*3%</f>
        <v>260113.77</v>
      </c>
      <c r="T9" s="50">
        <f>SUM(D9:E9,G9,I9)*1490000*1.5%</f>
        <v>130056.885</v>
      </c>
      <c r="U9" s="50"/>
      <c r="V9" s="50"/>
      <c r="W9" s="50">
        <f>SUM(D9:E9,G9,I9)*1490000*2%*3</f>
        <v>520227.54</v>
      </c>
      <c r="X9" s="50">
        <f>(P9-(R9+T9+V9))*1%</f>
        <v>141390.35395</v>
      </c>
      <c r="Y9" s="51">
        <f>R9+T9+V9+X9</f>
        <v>965083.95895</v>
      </c>
      <c r="Z9" s="52">
        <f>P9-Y9</f>
        <v>13997645.04105</v>
      </c>
      <c r="AA9" s="50"/>
      <c r="AB9" s="53">
        <f>(D9+E9+I9)*1490000/30</f>
        <v>289015.3</v>
      </c>
      <c r="AC9" s="53"/>
    </row>
    <row r="10" spans="1:29" s="38" customFormat="1" ht="19.5" customHeight="1">
      <c r="A10" s="39">
        <f>IF(B10="","",MAX($A9:A9)+1)</f>
        <v>2</v>
      </c>
      <c r="B10" s="40" t="s">
        <v>40</v>
      </c>
      <c r="C10" s="41" t="s">
        <v>41</v>
      </c>
      <c r="D10" s="42">
        <v>3.99</v>
      </c>
      <c r="E10" s="43">
        <v>0.45</v>
      </c>
      <c r="F10" s="44"/>
      <c r="G10" s="54">
        <f>D10*F10</f>
        <v>0</v>
      </c>
      <c r="H10" s="45">
        <v>0.19</v>
      </c>
      <c r="I10" s="46">
        <f aca="true" t="shared" si="0" ref="I10:I63">SUM(D10:E10,G10)*H10</f>
        <v>0.8436000000000001</v>
      </c>
      <c r="J10" s="46"/>
      <c r="K10" s="46">
        <f>SUM(D10:E10,G10)*30%</f>
        <v>1.332</v>
      </c>
      <c r="L10" s="46"/>
      <c r="M10" s="43"/>
      <c r="N10" s="43"/>
      <c r="O10" s="48">
        <f aca="true" t="shared" si="1" ref="O10:O64">SUM(D10:E10,G10,I10:N10)</f>
        <v>6.615600000000001</v>
      </c>
      <c r="P10" s="49">
        <f aca="true" t="shared" si="2" ref="P10:P63">O10*1490000</f>
        <v>9857244</v>
      </c>
      <c r="Q10" s="50">
        <f aca="true" t="shared" si="3" ref="Q10:Q64">SUM(D10:E10,G10,I10)*1490000*17.5%</f>
        <v>1377698.7000000002</v>
      </c>
      <c r="R10" s="50">
        <f aca="true" t="shared" si="4" ref="R10:R63">SUM(D10:E10,I10,G10)*1490000*8%</f>
        <v>629805.1200000001</v>
      </c>
      <c r="S10" s="50">
        <f aca="true" t="shared" si="5" ref="S10:S63">SUM(D10:E10,G10,I10)*1490000*3%</f>
        <v>236176.92</v>
      </c>
      <c r="T10" s="50">
        <f aca="true" t="shared" si="6" ref="T10:T63">SUM(D10:E10,G10,I10)*1490000*1.5%</f>
        <v>118088.46</v>
      </c>
      <c r="U10" s="50">
        <f>SUM(D10:E10,G10,I10)*1490000*1%</f>
        <v>78725.64000000001</v>
      </c>
      <c r="V10" s="50">
        <f>SUM(D10:E10,G10,I10)*1490000*1%</f>
        <v>78725.64000000001</v>
      </c>
      <c r="W10" s="50">
        <f aca="true" t="shared" si="7" ref="W10:W63">SUM(D10:E10,G10,I10)*1490000*2%*3</f>
        <v>472353.8400000001</v>
      </c>
      <c r="X10" s="50">
        <f>(P10-(R10+T10+V10))*1%</f>
        <v>90306.2478</v>
      </c>
      <c r="Y10" s="51">
        <f aca="true" t="shared" si="8" ref="Y10:Y63">R10+T10+V10+X10</f>
        <v>916925.4678000001</v>
      </c>
      <c r="Z10" s="52">
        <f aca="true" t="shared" si="9" ref="Z10:Z62">P10-Y10</f>
        <v>8940318.5322</v>
      </c>
      <c r="AA10" s="50"/>
      <c r="AB10" s="53">
        <f aca="true" t="shared" si="10" ref="AB10:AB68">(D10+E10+I10)*1490000/30</f>
        <v>262418.80000000005</v>
      </c>
      <c r="AC10" s="53"/>
    </row>
    <row r="11" spans="1:29" s="38" customFormat="1" ht="19.5" customHeight="1">
      <c r="A11" s="39">
        <f>IF(B11="","",MAX($A10:A10)+1)</f>
        <v>3</v>
      </c>
      <c r="B11" s="40" t="s">
        <v>42</v>
      </c>
      <c r="C11" s="41" t="s">
        <v>43</v>
      </c>
      <c r="D11" s="42">
        <v>4.27</v>
      </c>
      <c r="E11" s="43">
        <v>0.45</v>
      </c>
      <c r="F11" s="44"/>
      <c r="G11" s="54">
        <f aca="true" t="shared" si="11" ref="G11:G62">D11*F11</f>
        <v>0</v>
      </c>
      <c r="H11" s="45">
        <v>0.23</v>
      </c>
      <c r="I11" s="46">
        <f t="shared" si="0"/>
        <v>1.0856</v>
      </c>
      <c r="J11" s="46">
        <f>(D11+E11+G11)*0.35</f>
        <v>1.652</v>
      </c>
      <c r="K11" s="46">
        <f>SUM(D11:E11,G11)*35%</f>
        <v>1.652</v>
      </c>
      <c r="L11" s="46">
        <v>0.5</v>
      </c>
      <c r="M11" s="43"/>
      <c r="N11" s="43"/>
      <c r="O11" s="48">
        <f t="shared" si="1"/>
        <v>9.6096</v>
      </c>
      <c r="P11" s="49">
        <f t="shared" si="2"/>
        <v>14318304</v>
      </c>
      <c r="Q11" s="50">
        <f t="shared" si="3"/>
        <v>1513810.2</v>
      </c>
      <c r="R11" s="50">
        <f t="shared" si="4"/>
        <v>692027.52</v>
      </c>
      <c r="S11" s="50">
        <f t="shared" si="5"/>
        <v>259510.31999999998</v>
      </c>
      <c r="T11" s="50">
        <f t="shared" si="6"/>
        <v>129755.15999999999</v>
      </c>
      <c r="U11" s="50">
        <f aca="true" t="shared" si="12" ref="U11:U63">SUM(D11:E11,G11,I11)*1490000*1%</f>
        <v>86503.44</v>
      </c>
      <c r="V11" s="50">
        <f aca="true" t="shared" si="13" ref="V11:V62">SUM(D11:E11,G11,I11)*1490000*1%</f>
        <v>86503.44</v>
      </c>
      <c r="W11" s="50">
        <f t="shared" si="7"/>
        <v>519020.64</v>
      </c>
      <c r="X11" s="50">
        <f>(P11-(R11+T11+V11))*1%</f>
        <v>134100.1788</v>
      </c>
      <c r="Y11" s="51">
        <f t="shared" si="8"/>
        <v>1042386.2988000001</v>
      </c>
      <c r="Z11" s="52">
        <f t="shared" si="9"/>
        <v>13275917.7012</v>
      </c>
      <c r="AA11" s="50"/>
      <c r="AB11" s="53">
        <f t="shared" si="10"/>
        <v>288344.8</v>
      </c>
      <c r="AC11" s="53"/>
    </row>
    <row r="12" spans="1:29" s="38" customFormat="1" ht="19.5" customHeight="1">
      <c r="A12" s="39">
        <f>IF(B12="","",MAX($A11:A11)+1)</f>
        <v>4</v>
      </c>
      <c r="B12" s="40" t="s">
        <v>44</v>
      </c>
      <c r="C12" s="41" t="s">
        <v>45</v>
      </c>
      <c r="D12" s="42">
        <v>2.72</v>
      </c>
      <c r="E12" s="43">
        <v>0.2</v>
      </c>
      <c r="F12" s="44"/>
      <c r="G12" s="54">
        <f t="shared" si="11"/>
        <v>0</v>
      </c>
      <c r="H12" s="45">
        <v>0.08</v>
      </c>
      <c r="I12" s="46">
        <f t="shared" si="0"/>
        <v>0.23360000000000003</v>
      </c>
      <c r="J12" s="46">
        <f>(D12+E12+G12)*0.35</f>
        <v>1.022</v>
      </c>
      <c r="K12" s="46">
        <f>SUM(D12:E12,G12)*35%</f>
        <v>1.022</v>
      </c>
      <c r="L12" s="46">
        <f>SUM(D12:E12,G12)*70%</f>
        <v>2.044</v>
      </c>
      <c r="M12" s="43"/>
      <c r="N12" s="43"/>
      <c r="O12" s="48">
        <f t="shared" si="1"/>
        <v>7.2416</v>
      </c>
      <c r="P12" s="49">
        <f t="shared" si="2"/>
        <v>10789984</v>
      </c>
      <c r="Q12" s="50">
        <f t="shared" si="3"/>
        <v>822301.2000000001</v>
      </c>
      <c r="R12" s="50">
        <f t="shared" si="4"/>
        <v>375909.12000000005</v>
      </c>
      <c r="S12" s="50">
        <f t="shared" si="5"/>
        <v>140965.92</v>
      </c>
      <c r="T12" s="50">
        <f t="shared" si="6"/>
        <v>70482.96</v>
      </c>
      <c r="U12" s="50">
        <f t="shared" si="12"/>
        <v>46988.64000000001</v>
      </c>
      <c r="V12" s="50">
        <f t="shared" si="13"/>
        <v>46988.64000000001</v>
      </c>
      <c r="W12" s="50">
        <f t="shared" si="7"/>
        <v>281931.84</v>
      </c>
      <c r="X12" s="50">
        <f aca="true" t="shared" si="14" ref="X12:X64">(P12-(R12+T12+V12))*1%</f>
        <v>102966.0328</v>
      </c>
      <c r="Y12" s="51">
        <f t="shared" si="8"/>
        <v>596346.7528000001</v>
      </c>
      <c r="Z12" s="52">
        <f t="shared" si="9"/>
        <v>10193637.2472</v>
      </c>
      <c r="AA12" s="50"/>
      <c r="AB12" s="53">
        <f t="shared" si="10"/>
        <v>156628.80000000002</v>
      </c>
      <c r="AC12" s="53"/>
    </row>
    <row r="13" spans="1:29" s="38" customFormat="1" ht="19.5" customHeight="1">
      <c r="A13" s="39">
        <f>IF(B13="","",MAX($A12:A12)+1)</f>
        <v>5</v>
      </c>
      <c r="B13" s="40" t="s">
        <v>46</v>
      </c>
      <c r="C13" s="41" t="s">
        <v>47</v>
      </c>
      <c r="D13" s="42">
        <v>3.34</v>
      </c>
      <c r="E13" s="43">
        <v>0.2</v>
      </c>
      <c r="F13" s="44"/>
      <c r="G13" s="54">
        <f t="shared" si="11"/>
        <v>0</v>
      </c>
      <c r="H13" s="45">
        <v>0.12</v>
      </c>
      <c r="I13" s="46">
        <f t="shared" si="0"/>
        <v>0.4248</v>
      </c>
      <c r="J13" s="46"/>
      <c r="K13" s="46">
        <f>SUM(D13:E13,G13)*30%</f>
        <v>1.062</v>
      </c>
      <c r="L13" s="46"/>
      <c r="M13" s="43"/>
      <c r="N13" s="43"/>
      <c r="O13" s="48">
        <f t="shared" si="1"/>
        <v>5.0268</v>
      </c>
      <c r="P13" s="49">
        <f t="shared" si="2"/>
        <v>7489932</v>
      </c>
      <c r="Q13" s="50">
        <f t="shared" si="3"/>
        <v>1033821.6</v>
      </c>
      <c r="R13" s="50">
        <f t="shared" si="4"/>
        <v>472604.16000000003</v>
      </c>
      <c r="S13" s="50">
        <f t="shared" si="5"/>
        <v>177226.56</v>
      </c>
      <c r="T13" s="50">
        <f t="shared" si="6"/>
        <v>88613.28</v>
      </c>
      <c r="U13" s="50">
        <f t="shared" si="12"/>
        <v>59075.520000000004</v>
      </c>
      <c r="V13" s="50">
        <f t="shared" si="13"/>
        <v>59075.520000000004</v>
      </c>
      <c r="W13" s="50">
        <f t="shared" si="7"/>
        <v>354453.12</v>
      </c>
      <c r="X13" s="50">
        <f t="shared" si="14"/>
        <v>68696.3904</v>
      </c>
      <c r="Y13" s="51">
        <f t="shared" si="8"/>
        <v>688989.3504000001</v>
      </c>
      <c r="Z13" s="52">
        <f t="shared" si="9"/>
        <v>6800942.6496</v>
      </c>
      <c r="AA13" s="50"/>
      <c r="AB13" s="53">
        <f t="shared" si="10"/>
        <v>196918.4</v>
      </c>
      <c r="AC13" s="53"/>
    </row>
    <row r="14" spans="1:29" s="38" customFormat="1" ht="19.5" customHeight="1">
      <c r="A14" s="39">
        <f>IF(B14="","",MAX($A13:A13)+1)</f>
        <v>6</v>
      </c>
      <c r="B14" s="55" t="s">
        <v>48</v>
      </c>
      <c r="C14" s="41" t="s">
        <v>43</v>
      </c>
      <c r="D14" s="56">
        <v>3.34</v>
      </c>
      <c r="E14" s="43"/>
      <c r="F14" s="44"/>
      <c r="G14" s="54">
        <f t="shared" si="11"/>
        <v>0</v>
      </c>
      <c r="H14" s="45">
        <v>0.16</v>
      </c>
      <c r="I14" s="46">
        <f t="shared" si="0"/>
        <v>0.5344</v>
      </c>
      <c r="J14" s="46">
        <f>(D14+E14+G14)*0.35</f>
        <v>1.1689999999999998</v>
      </c>
      <c r="K14" s="46">
        <f>SUM(D14:E14,G14)*35%</f>
        <v>1.1689999999999998</v>
      </c>
      <c r="L14" s="46">
        <f>SUM(D14:E14,G14)*70%</f>
        <v>2.3379999999999996</v>
      </c>
      <c r="M14" s="43"/>
      <c r="N14" s="43"/>
      <c r="O14" s="48">
        <f t="shared" si="1"/>
        <v>8.550399999999998</v>
      </c>
      <c r="P14" s="49">
        <f t="shared" si="2"/>
        <v>12740095.999999996</v>
      </c>
      <c r="Q14" s="50">
        <f t="shared" si="3"/>
        <v>1010249.7999999998</v>
      </c>
      <c r="R14" s="50">
        <f t="shared" si="4"/>
        <v>461828.4799999999</v>
      </c>
      <c r="S14" s="50">
        <f t="shared" si="5"/>
        <v>173185.67999999996</v>
      </c>
      <c r="T14" s="50">
        <f t="shared" si="6"/>
        <v>86592.83999999998</v>
      </c>
      <c r="U14" s="50">
        <f t="shared" si="12"/>
        <v>57728.55999999999</v>
      </c>
      <c r="V14" s="50">
        <f t="shared" si="13"/>
        <v>57728.55999999999</v>
      </c>
      <c r="W14" s="50">
        <f t="shared" si="7"/>
        <v>346371.3599999999</v>
      </c>
      <c r="X14" s="50">
        <f t="shared" si="14"/>
        <v>121339.46119999998</v>
      </c>
      <c r="Y14" s="51">
        <f t="shared" si="8"/>
        <v>727489.3411999999</v>
      </c>
      <c r="Z14" s="52">
        <f t="shared" si="9"/>
        <v>12012606.658799997</v>
      </c>
      <c r="AA14" s="50"/>
      <c r="AB14" s="53">
        <f t="shared" si="10"/>
        <v>192428.5333333333</v>
      </c>
      <c r="AC14" s="53"/>
    </row>
    <row r="15" spans="1:29" s="38" customFormat="1" ht="19.5" customHeight="1">
      <c r="A15" s="39">
        <f>IF(B15="","",MAX($A14:A14)+1)</f>
        <v>7</v>
      </c>
      <c r="B15" s="40" t="s">
        <v>49</v>
      </c>
      <c r="C15" s="41" t="s">
        <v>43</v>
      </c>
      <c r="D15" s="42">
        <v>3.96</v>
      </c>
      <c r="E15" s="43">
        <v>0.2</v>
      </c>
      <c r="F15" s="44"/>
      <c r="G15" s="54">
        <f t="shared" si="11"/>
        <v>0</v>
      </c>
      <c r="H15" s="45">
        <v>0.18</v>
      </c>
      <c r="I15" s="46">
        <f t="shared" si="0"/>
        <v>0.7488</v>
      </c>
      <c r="J15" s="46"/>
      <c r="K15" s="46">
        <f>SUM(D15:E15,G15)*35%</f>
        <v>1.456</v>
      </c>
      <c r="L15" s="46"/>
      <c r="M15" s="43"/>
      <c r="N15" s="43"/>
      <c r="O15" s="48">
        <f t="shared" si="1"/>
        <v>6.364800000000001</v>
      </c>
      <c r="P15" s="49">
        <f t="shared" si="2"/>
        <v>9483552.000000002</v>
      </c>
      <c r="Q15" s="50">
        <f t="shared" si="3"/>
        <v>1279969.5999999999</v>
      </c>
      <c r="R15" s="50">
        <f t="shared" si="4"/>
        <v>585128.96</v>
      </c>
      <c r="S15" s="50">
        <f t="shared" si="5"/>
        <v>219423.36</v>
      </c>
      <c r="T15" s="50">
        <f t="shared" si="6"/>
        <v>109711.68</v>
      </c>
      <c r="U15" s="50">
        <f t="shared" si="12"/>
        <v>73141.12</v>
      </c>
      <c r="V15" s="50">
        <f t="shared" si="13"/>
        <v>73141.12</v>
      </c>
      <c r="W15" s="50">
        <f t="shared" si="7"/>
        <v>438846.72</v>
      </c>
      <c r="X15" s="50">
        <f t="shared" si="14"/>
        <v>87155.70240000002</v>
      </c>
      <c r="Y15" s="51">
        <f t="shared" si="8"/>
        <v>855137.4624</v>
      </c>
      <c r="Z15" s="52">
        <f t="shared" si="9"/>
        <v>8628414.537600001</v>
      </c>
      <c r="AA15" s="50"/>
      <c r="AB15" s="53">
        <f t="shared" si="10"/>
        <v>243803.73333333334</v>
      </c>
      <c r="AC15" s="53"/>
    </row>
    <row r="16" spans="1:29" s="38" customFormat="1" ht="19.5" customHeight="1">
      <c r="A16" s="39">
        <f>IF(B16="","",MAX($A15:A15)+1)</f>
        <v>8</v>
      </c>
      <c r="B16" s="57" t="s">
        <v>50</v>
      </c>
      <c r="C16" s="41" t="s">
        <v>43</v>
      </c>
      <c r="D16" s="42">
        <v>3.96</v>
      </c>
      <c r="E16" s="43">
        <v>0.2</v>
      </c>
      <c r="F16" s="44"/>
      <c r="G16" s="54">
        <f t="shared" si="11"/>
        <v>0</v>
      </c>
      <c r="H16" s="45">
        <v>0.21</v>
      </c>
      <c r="I16" s="46">
        <f t="shared" si="0"/>
        <v>0.8736</v>
      </c>
      <c r="J16" s="46">
        <f>(D16+E16+G16)*0.35</f>
        <v>1.456</v>
      </c>
      <c r="K16" s="46">
        <f>SUM(D16:E16,G16)*35%</f>
        <v>1.456</v>
      </c>
      <c r="L16" s="58">
        <v>0.5</v>
      </c>
      <c r="M16" s="43"/>
      <c r="N16" s="43"/>
      <c r="O16" s="48">
        <f t="shared" si="1"/>
        <v>8.445599999999999</v>
      </c>
      <c r="P16" s="49">
        <f t="shared" si="2"/>
        <v>12583943.999999998</v>
      </c>
      <c r="Q16" s="50">
        <f t="shared" si="3"/>
        <v>1312511.2</v>
      </c>
      <c r="R16" s="50">
        <f t="shared" si="4"/>
        <v>600005.12</v>
      </c>
      <c r="S16" s="50">
        <f t="shared" si="5"/>
        <v>225001.91999999998</v>
      </c>
      <c r="T16" s="50">
        <f t="shared" si="6"/>
        <v>112500.95999999999</v>
      </c>
      <c r="U16" s="50">
        <f t="shared" si="12"/>
        <v>75000.64</v>
      </c>
      <c r="V16" s="50">
        <f t="shared" si="13"/>
        <v>75000.64</v>
      </c>
      <c r="W16" s="50">
        <f t="shared" si="7"/>
        <v>450003.83999999997</v>
      </c>
      <c r="X16" s="50">
        <f t="shared" si="14"/>
        <v>117964.37279999998</v>
      </c>
      <c r="Y16" s="51">
        <f t="shared" si="8"/>
        <v>905471.0928</v>
      </c>
      <c r="Z16" s="52">
        <f t="shared" si="9"/>
        <v>11678472.907199997</v>
      </c>
      <c r="AA16" s="50"/>
      <c r="AB16" s="53">
        <f t="shared" si="10"/>
        <v>250002.13333333333</v>
      </c>
      <c r="AC16" s="53"/>
    </row>
    <row r="17" spans="1:29" s="38" customFormat="1" ht="19.5" customHeight="1">
      <c r="A17" s="39">
        <f>IF(B17="","",MAX($A16:A16)+1)</f>
        <v>9</v>
      </c>
      <c r="B17" s="40" t="s">
        <v>51</v>
      </c>
      <c r="C17" s="41" t="s">
        <v>43</v>
      </c>
      <c r="D17" s="42">
        <v>4.27</v>
      </c>
      <c r="E17" s="43">
        <v>0.2</v>
      </c>
      <c r="F17" s="44"/>
      <c r="G17" s="54">
        <f t="shared" si="11"/>
        <v>0</v>
      </c>
      <c r="H17" s="45">
        <v>0.22</v>
      </c>
      <c r="I17" s="46">
        <f t="shared" si="0"/>
        <v>0.9833999999999999</v>
      </c>
      <c r="J17" s="46">
        <f>(D17+E17+G17)*0.35</f>
        <v>1.5644999999999998</v>
      </c>
      <c r="K17" s="46">
        <f>SUM(D17:E17,G17)*35%</f>
        <v>1.5644999999999998</v>
      </c>
      <c r="L17" s="58">
        <v>0.5</v>
      </c>
      <c r="M17" s="43"/>
      <c r="N17" s="43"/>
      <c r="O17" s="48">
        <f t="shared" si="1"/>
        <v>9.0824</v>
      </c>
      <c r="P17" s="49">
        <f t="shared" si="2"/>
        <v>13532776</v>
      </c>
      <c r="Q17" s="50">
        <f t="shared" si="3"/>
        <v>1421974.0499999998</v>
      </c>
      <c r="R17" s="50">
        <f t="shared" si="4"/>
        <v>650045.2799999999</v>
      </c>
      <c r="S17" s="50">
        <f t="shared" si="5"/>
        <v>243766.97999999995</v>
      </c>
      <c r="T17" s="50">
        <f t="shared" si="6"/>
        <v>121883.48999999998</v>
      </c>
      <c r="U17" s="50">
        <f t="shared" si="12"/>
        <v>81255.65999999999</v>
      </c>
      <c r="V17" s="50">
        <f t="shared" si="13"/>
        <v>81255.65999999999</v>
      </c>
      <c r="W17" s="50">
        <f t="shared" si="7"/>
        <v>487533.95999999996</v>
      </c>
      <c r="X17" s="50">
        <f t="shared" si="14"/>
        <v>126795.91570000001</v>
      </c>
      <c r="Y17" s="51">
        <f t="shared" si="8"/>
        <v>979980.3457</v>
      </c>
      <c r="Z17" s="52">
        <f t="shared" si="9"/>
        <v>12552795.6543</v>
      </c>
      <c r="AA17" s="50"/>
      <c r="AB17" s="53">
        <f t="shared" si="10"/>
        <v>270852.19999999995</v>
      </c>
      <c r="AC17" s="53"/>
    </row>
    <row r="18" spans="1:29" s="38" customFormat="1" ht="19.5" customHeight="1">
      <c r="A18" s="39">
        <f>IF(B18="","",MAX($A17:A17)+1)</f>
        <v>10</v>
      </c>
      <c r="B18" s="59" t="s">
        <v>52</v>
      </c>
      <c r="C18" s="41" t="s">
        <v>45</v>
      </c>
      <c r="D18" s="60">
        <v>4.06</v>
      </c>
      <c r="E18" s="43"/>
      <c r="F18" s="44">
        <v>0.07</v>
      </c>
      <c r="G18" s="61">
        <f t="shared" si="11"/>
        <v>0.2842</v>
      </c>
      <c r="H18" s="45">
        <v>0.05</v>
      </c>
      <c r="I18" s="46">
        <f t="shared" si="0"/>
        <v>0.21721000000000001</v>
      </c>
      <c r="J18" s="46"/>
      <c r="K18" s="46">
        <f>SUM(D18:E18,G18)*35%</f>
        <v>1.5204699999999998</v>
      </c>
      <c r="L18" s="46"/>
      <c r="M18" s="43"/>
      <c r="N18" s="43"/>
      <c r="O18" s="48">
        <f t="shared" si="1"/>
        <v>6.081879999999999</v>
      </c>
      <c r="P18" s="49">
        <f t="shared" si="2"/>
        <v>9062001.2</v>
      </c>
      <c r="Q18" s="50">
        <f t="shared" si="3"/>
        <v>1189387.6574999997</v>
      </c>
      <c r="R18" s="50">
        <f t="shared" si="4"/>
        <v>543720.0719999999</v>
      </c>
      <c r="S18" s="50">
        <f t="shared" si="5"/>
        <v>203895.02699999997</v>
      </c>
      <c r="T18" s="50">
        <f t="shared" si="6"/>
        <v>101947.51349999999</v>
      </c>
      <c r="U18" s="50">
        <f t="shared" si="12"/>
        <v>67965.00899999999</v>
      </c>
      <c r="V18" s="50">
        <f t="shared" si="13"/>
        <v>67965.00899999999</v>
      </c>
      <c r="W18" s="50">
        <f t="shared" si="7"/>
        <v>407790.05399999995</v>
      </c>
      <c r="X18" s="50">
        <f t="shared" si="14"/>
        <v>83483.686055</v>
      </c>
      <c r="Y18" s="51">
        <f t="shared" si="8"/>
        <v>797116.2805549998</v>
      </c>
      <c r="Z18" s="52">
        <f t="shared" si="9"/>
        <v>8264884.919445</v>
      </c>
      <c r="AA18" s="50"/>
      <c r="AB18" s="53">
        <f t="shared" si="10"/>
        <v>212434.76333333328</v>
      </c>
      <c r="AC18" s="53"/>
    </row>
    <row r="19" spans="1:29" s="38" customFormat="1" ht="19.5" customHeight="1">
      <c r="A19" s="39">
        <f>IF(B19="","",MAX($A18:A18)+1)</f>
        <v>11</v>
      </c>
      <c r="B19" s="62" t="s">
        <v>53</v>
      </c>
      <c r="C19" s="41" t="s">
        <v>47</v>
      </c>
      <c r="D19" s="63">
        <v>3.96</v>
      </c>
      <c r="E19" s="43">
        <v>0.2</v>
      </c>
      <c r="F19" s="44"/>
      <c r="G19" s="61">
        <f t="shared" si="11"/>
        <v>0</v>
      </c>
      <c r="H19" s="45">
        <v>0.17</v>
      </c>
      <c r="I19" s="46">
        <f t="shared" si="0"/>
        <v>0.7072</v>
      </c>
      <c r="J19" s="46"/>
      <c r="K19" s="46">
        <f>SUM(D19:E19,G19)*30%</f>
        <v>1.248</v>
      </c>
      <c r="L19" s="46"/>
      <c r="M19" s="43"/>
      <c r="N19" s="43"/>
      <c r="O19" s="48">
        <f t="shared" si="1"/>
        <v>6.115200000000001</v>
      </c>
      <c r="P19" s="49">
        <f t="shared" si="2"/>
        <v>9111648.000000002</v>
      </c>
      <c r="Q19" s="50">
        <f t="shared" si="3"/>
        <v>1269122.4000000001</v>
      </c>
      <c r="R19" s="50">
        <f t="shared" si="4"/>
        <v>580170.2400000001</v>
      </c>
      <c r="S19" s="50">
        <f t="shared" si="5"/>
        <v>217563.84000000003</v>
      </c>
      <c r="T19" s="50">
        <f t="shared" si="6"/>
        <v>108781.92000000001</v>
      </c>
      <c r="U19" s="50">
        <f t="shared" si="12"/>
        <v>72521.28000000001</v>
      </c>
      <c r="V19" s="50">
        <f t="shared" si="13"/>
        <v>72521.28000000001</v>
      </c>
      <c r="W19" s="50">
        <f t="shared" si="7"/>
        <v>435127.68000000005</v>
      </c>
      <c r="X19" s="50">
        <f t="shared" si="14"/>
        <v>83501.74560000001</v>
      </c>
      <c r="Y19" s="51">
        <f t="shared" si="8"/>
        <v>844975.1856000002</v>
      </c>
      <c r="Z19" s="52">
        <f t="shared" si="9"/>
        <v>8266672.814400001</v>
      </c>
      <c r="AA19" s="50"/>
      <c r="AB19" s="53">
        <f t="shared" si="10"/>
        <v>241737.60000000003</v>
      </c>
      <c r="AC19" s="53"/>
    </row>
    <row r="20" spans="1:29" s="38" customFormat="1" ht="19.5" customHeight="1">
      <c r="A20" s="39">
        <v>12</v>
      </c>
      <c r="B20" s="55" t="s">
        <v>54</v>
      </c>
      <c r="C20" s="41" t="s">
        <v>41</v>
      </c>
      <c r="D20" s="42">
        <v>3.99</v>
      </c>
      <c r="E20" s="43"/>
      <c r="F20" s="44"/>
      <c r="G20" s="61">
        <f t="shared" si="11"/>
        <v>0</v>
      </c>
      <c r="H20" s="45">
        <v>0.15</v>
      </c>
      <c r="I20" s="46">
        <f t="shared" si="0"/>
        <v>0.5985</v>
      </c>
      <c r="J20" s="46"/>
      <c r="K20" s="46">
        <f>SUM(D20:E20,G20)*30%</f>
        <v>1.197</v>
      </c>
      <c r="L20" s="46"/>
      <c r="M20" s="43"/>
      <c r="N20" s="43"/>
      <c r="O20" s="48">
        <f t="shared" si="1"/>
        <v>5.7855</v>
      </c>
      <c r="P20" s="49">
        <f t="shared" si="2"/>
        <v>8620395</v>
      </c>
      <c r="Q20" s="50">
        <f t="shared" si="3"/>
        <v>1196451.375</v>
      </c>
      <c r="R20" s="50">
        <f t="shared" si="4"/>
        <v>546949.2</v>
      </c>
      <c r="S20" s="50">
        <f t="shared" si="5"/>
        <v>205105.94999999998</v>
      </c>
      <c r="T20" s="50">
        <f t="shared" si="6"/>
        <v>102552.97499999999</v>
      </c>
      <c r="U20" s="50">
        <f t="shared" si="12"/>
        <v>68368.65</v>
      </c>
      <c r="V20" s="50">
        <f t="shared" si="13"/>
        <v>68368.65</v>
      </c>
      <c r="W20" s="50">
        <f t="shared" si="7"/>
        <v>410211.89999999997</v>
      </c>
      <c r="X20" s="50">
        <f t="shared" si="14"/>
        <v>79025.24175</v>
      </c>
      <c r="Y20" s="51">
        <f t="shared" si="8"/>
        <v>796896.06675</v>
      </c>
      <c r="Z20" s="52">
        <f t="shared" si="9"/>
        <v>7823498.93325</v>
      </c>
      <c r="AA20" s="50"/>
      <c r="AB20" s="53">
        <f t="shared" si="10"/>
        <v>227895.5</v>
      </c>
      <c r="AC20" s="53"/>
    </row>
    <row r="21" spans="1:29" s="38" customFormat="1" ht="19.5" customHeight="1">
      <c r="A21" s="39">
        <f>IF(B21="","",MAX($A20:A20)+1)</f>
        <v>13</v>
      </c>
      <c r="B21" s="40" t="s">
        <v>55</v>
      </c>
      <c r="C21" s="41" t="s">
        <v>45</v>
      </c>
      <c r="D21" s="42">
        <v>4.06</v>
      </c>
      <c r="E21" s="43"/>
      <c r="F21" s="44">
        <v>0.1</v>
      </c>
      <c r="G21" s="61">
        <f t="shared" si="11"/>
        <v>0.40599999999999997</v>
      </c>
      <c r="H21" s="45"/>
      <c r="I21" s="46">
        <f t="shared" si="0"/>
        <v>0</v>
      </c>
      <c r="J21" s="46"/>
      <c r="K21" s="46">
        <f aca="true" t="shared" si="15" ref="K21:K29">SUM(D21:E21,G21)*35%</f>
        <v>1.5630999999999997</v>
      </c>
      <c r="L21" s="46"/>
      <c r="M21" s="43"/>
      <c r="N21" s="43"/>
      <c r="O21" s="48">
        <f t="shared" si="1"/>
        <v>6.029099999999999</v>
      </c>
      <c r="P21" s="49">
        <f t="shared" si="2"/>
        <v>8983358.999999998</v>
      </c>
      <c r="Q21" s="50">
        <f t="shared" si="3"/>
        <v>1164509.4999999998</v>
      </c>
      <c r="R21" s="50">
        <f t="shared" si="4"/>
        <v>532347.2</v>
      </c>
      <c r="S21" s="50">
        <f t="shared" si="5"/>
        <v>199630.19999999995</v>
      </c>
      <c r="T21" s="50">
        <f t="shared" si="6"/>
        <v>99815.09999999998</v>
      </c>
      <c r="U21" s="50">
        <f t="shared" si="12"/>
        <v>66543.4</v>
      </c>
      <c r="V21" s="50">
        <f t="shared" si="13"/>
        <v>66543.4</v>
      </c>
      <c r="W21" s="50">
        <f t="shared" si="7"/>
        <v>399260.39999999997</v>
      </c>
      <c r="X21" s="50">
        <f t="shared" si="14"/>
        <v>82846.53299999998</v>
      </c>
      <c r="Y21" s="51">
        <f t="shared" si="8"/>
        <v>781552.2329999999</v>
      </c>
      <c r="Z21" s="52">
        <f t="shared" si="9"/>
        <v>8201806.766999998</v>
      </c>
      <c r="AA21" s="50"/>
      <c r="AB21" s="53">
        <f t="shared" si="10"/>
        <v>201646.66666666663</v>
      </c>
      <c r="AC21" s="53"/>
    </row>
    <row r="22" spans="1:29" s="38" customFormat="1" ht="19.5" customHeight="1">
      <c r="A22" s="39">
        <f>IF(B22="","",MAX($A21:A21)+1)</f>
        <v>14</v>
      </c>
      <c r="B22" s="40" t="s">
        <v>56</v>
      </c>
      <c r="C22" s="41" t="s">
        <v>45</v>
      </c>
      <c r="D22" s="42">
        <v>4.06</v>
      </c>
      <c r="E22" s="43"/>
      <c r="F22" s="44">
        <v>0.05</v>
      </c>
      <c r="G22" s="61">
        <f t="shared" si="11"/>
        <v>0.20299999999999999</v>
      </c>
      <c r="H22" s="45">
        <v>0.24</v>
      </c>
      <c r="I22" s="46">
        <f t="shared" si="0"/>
        <v>1.02312</v>
      </c>
      <c r="J22" s="46"/>
      <c r="K22" s="46">
        <f t="shared" si="15"/>
        <v>1.4920499999999999</v>
      </c>
      <c r="L22" s="46"/>
      <c r="M22" s="43"/>
      <c r="N22" s="43"/>
      <c r="O22" s="48">
        <f t="shared" si="1"/>
        <v>6.77817</v>
      </c>
      <c r="P22" s="49">
        <f t="shared" si="2"/>
        <v>10099473.3</v>
      </c>
      <c r="Q22" s="50">
        <f t="shared" si="3"/>
        <v>1378355.79</v>
      </c>
      <c r="R22" s="50">
        <f t="shared" si="4"/>
        <v>630105.504</v>
      </c>
      <c r="S22" s="50">
        <f t="shared" si="5"/>
        <v>236289.564</v>
      </c>
      <c r="T22" s="50">
        <f t="shared" si="6"/>
        <v>118144.782</v>
      </c>
      <c r="U22" s="50">
        <f t="shared" si="12"/>
        <v>78763.18800000001</v>
      </c>
      <c r="V22" s="50">
        <f t="shared" si="13"/>
        <v>78763.18800000001</v>
      </c>
      <c r="W22" s="50">
        <f t="shared" si="7"/>
        <v>472579.128</v>
      </c>
      <c r="X22" s="50">
        <f t="shared" si="14"/>
        <v>92724.59826000001</v>
      </c>
      <c r="Y22" s="51">
        <f t="shared" si="8"/>
        <v>919738.0722599999</v>
      </c>
      <c r="Z22" s="52">
        <f t="shared" si="9"/>
        <v>9179735.227740001</v>
      </c>
      <c r="AA22" s="50"/>
      <c r="AB22" s="53">
        <f t="shared" si="10"/>
        <v>252461.62666666662</v>
      </c>
      <c r="AC22" s="53"/>
    </row>
    <row r="23" spans="1:29" s="38" customFormat="1" ht="19.5" customHeight="1">
      <c r="A23" s="39">
        <f>IF(B23="","",MAX($A22:A22)+1)</f>
        <v>15</v>
      </c>
      <c r="B23" s="40" t="s">
        <v>57</v>
      </c>
      <c r="C23" s="41" t="s">
        <v>43</v>
      </c>
      <c r="D23" s="42">
        <v>3.03</v>
      </c>
      <c r="E23" s="43"/>
      <c r="F23" s="44"/>
      <c r="G23" s="61">
        <f t="shared" si="11"/>
        <v>0</v>
      </c>
      <c r="H23" s="45">
        <v>0.21</v>
      </c>
      <c r="I23" s="46">
        <f t="shared" si="0"/>
        <v>0.6363</v>
      </c>
      <c r="J23" s="46">
        <f>(D23+E23+G23)*0.35</f>
        <v>1.0604999999999998</v>
      </c>
      <c r="K23" s="46">
        <f t="shared" si="15"/>
        <v>1.0604999999999998</v>
      </c>
      <c r="L23" s="58">
        <v>0.5</v>
      </c>
      <c r="M23" s="43">
        <v>0.3</v>
      </c>
      <c r="N23" s="43"/>
      <c r="O23" s="48">
        <f t="shared" si="1"/>
        <v>6.587299999999998</v>
      </c>
      <c r="P23" s="49">
        <f t="shared" si="2"/>
        <v>9815076.999999998</v>
      </c>
      <c r="Q23" s="50">
        <f t="shared" si="3"/>
        <v>955987.7249999997</v>
      </c>
      <c r="R23" s="50">
        <f t="shared" si="4"/>
        <v>437022.95999999996</v>
      </c>
      <c r="S23" s="50">
        <f t="shared" si="5"/>
        <v>163883.60999999996</v>
      </c>
      <c r="T23" s="50">
        <f t="shared" si="6"/>
        <v>81941.80499999998</v>
      </c>
      <c r="U23" s="50">
        <f t="shared" si="12"/>
        <v>54627.869999999995</v>
      </c>
      <c r="V23" s="50">
        <f t="shared" si="13"/>
        <v>54627.869999999995</v>
      </c>
      <c r="W23" s="50">
        <f t="shared" si="7"/>
        <v>327767.22</v>
      </c>
      <c r="X23" s="50">
        <f t="shared" si="14"/>
        <v>92414.84364999998</v>
      </c>
      <c r="Y23" s="51">
        <f t="shared" si="8"/>
        <v>666007.47865</v>
      </c>
      <c r="Z23" s="52">
        <f t="shared" si="9"/>
        <v>9149069.521349998</v>
      </c>
      <c r="AA23" s="50"/>
      <c r="AB23" s="53">
        <f t="shared" si="10"/>
        <v>182092.89999999997</v>
      </c>
      <c r="AC23" s="53"/>
    </row>
    <row r="24" spans="1:29" s="38" customFormat="1" ht="19.5" customHeight="1">
      <c r="A24" s="39">
        <f>IF(B24="","",MAX($A23:A23)+1)</f>
        <v>16</v>
      </c>
      <c r="B24" s="40" t="s">
        <v>58</v>
      </c>
      <c r="C24" s="41" t="s">
        <v>41</v>
      </c>
      <c r="D24" s="42">
        <v>4.32</v>
      </c>
      <c r="E24" s="43"/>
      <c r="F24" s="44"/>
      <c r="G24" s="61">
        <f t="shared" si="11"/>
        <v>0</v>
      </c>
      <c r="H24" s="45"/>
      <c r="I24" s="46">
        <f t="shared" si="0"/>
        <v>0</v>
      </c>
      <c r="J24" s="46"/>
      <c r="K24" s="46">
        <f t="shared" si="15"/>
        <v>1.512</v>
      </c>
      <c r="L24" s="46"/>
      <c r="M24" s="43">
        <v>0.1</v>
      </c>
      <c r="N24" s="43"/>
      <c r="O24" s="48">
        <f>SUM(D24:E24,G24,I24:N24)</f>
        <v>5.932</v>
      </c>
      <c r="P24" s="49">
        <f>O24*1490000</f>
        <v>8838680</v>
      </c>
      <c r="Q24" s="50">
        <f t="shared" si="3"/>
        <v>1126440</v>
      </c>
      <c r="R24" s="50">
        <f t="shared" si="4"/>
        <v>514944</v>
      </c>
      <c r="S24" s="50">
        <f t="shared" si="5"/>
        <v>193104</v>
      </c>
      <c r="T24" s="50">
        <f t="shared" si="6"/>
        <v>96552</v>
      </c>
      <c r="U24" s="50">
        <f t="shared" si="12"/>
        <v>64368</v>
      </c>
      <c r="V24" s="50">
        <f t="shared" si="13"/>
        <v>64368</v>
      </c>
      <c r="W24" s="50">
        <f t="shared" si="7"/>
        <v>386208</v>
      </c>
      <c r="X24" s="50">
        <f t="shared" si="14"/>
        <v>81628.16</v>
      </c>
      <c r="Y24" s="51">
        <f t="shared" si="8"/>
        <v>757492.16</v>
      </c>
      <c r="Z24" s="52">
        <f t="shared" si="9"/>
        <v>8081187.84</v>
      </c>
      <c r="AA24" s="50"/>
      <c r="AB24" s="53">
        <f t="shared" si="10"/>
        <v>214560</v>
      </c>
      <c r="AC24" s="53"/>
    </row>
    <row r="25" spans="1:29" s="38" customFormat="1" ht="19.5" customHeight="1">
      <c r="A25" s="39">
        <f>IF(B25="","",MAX($A24:A24)+1)</f>
        <v>17</v>
      </c>
      <c r="B25" s="62" t="s">
        <v>59</v>
      </c>
      <c r="C25" s="41" t="s">
        <v>60</v>
      </c>
      <c r="D25" s="60">
        <v>4.98</v>
      </c>
      <c r="E25" s="43"/>
      <c r="F25" s="44"/>
      <c r="G25" s="61">
        <f t="shared" si="11"/>
        <v>0</v>
      </c>
      <c r="H25" s="45">
        <v>0.29</v>
      </c>
      <c r="I25" s="46">
        <f t="shared" si="0"/>
        <v>1.4442</v>
      </c>
      <c r="J25" s="46">
        <f>(D25+E25+G25)*0.35</f>
        <v>1.743</v>
      </c>
      <c r="K25" s="46">
        <f t="shared" si="15"/>
        <v>1.743</v>
      </c>
      <c r="L25" s="46">
        <v>0.5</v>
      </c>
      <c r="M25" s="43"/>
      <c r="N25" s="43"/>
      <c r="O25" s="48">
        <f t="shared" si="1"/>
        <v>10.410200000000001</v>
      </c>
      <c r="P25" s="49">
        <f t="shared" si="2"/>
        <v>15511198.000000002</v>
      </c>
      <c r="Q25" s="50">
        <f t="shared" si="3"/>
        <v>1675110.1500000001</v>
      </c>
      <c r="R25" s="50">
        <f t="shared" si="4"/>
        <v>765764.6400000001</v>
      </c>
      <c r="S25" s="50">
        <f t="shared" si="5"/>
        <v>287161.74000000005</v>
      </c>
      <c r="T25" s="50">
        <f t="shared" si="6"/>
        <v>143580.87000000002</v>
      </c>
      <c r="U25" s="50">
        <f t="shared" si="12"/>
        <v>95720.58000000002</v>
      </c>
      <c r="V25" s="50">
        <f t="shared" si="13"/>
        <v>95720.58000000002</v>
      </c>
      <c r="W25" s="50">
        <f t="shared" si="7"/>
        <v>574323.4800000001</v>
      </c>
      <c r="X25" s="50">
        <f t="shared" si="14"/>
        <v>145061.31910000002</v>
      </c>
      <c r="Y25" s="51">
        <f t="shared" si="8"/>
        <v>1150127.4091</v>
      </c>
      <c r="Z25" s="52">
        <f t="shared" si="9"/>
        <v>14361070.590900002</v>
      </c>
      <c r="AA25" s="50"/>
      <c r="AB25" s="53">
        <f t="shared" si="10"/>
        <v>319068.60000000003</v>
      </c>
      <c r="AC25" s="53"/>
    </row>
    <row r="26" spans="1:29" s="38" customFormat="1" ht="19.5" customHeight="1">
      <c r="A26" s="39">
        <f>IF(B26="","",MAX($A25:A25)+1)</f>
        <v>18</v>
      </c>
      <c r="B26" s="62" t="s">
        <v>61</v>
      </c>
      <c r="C26" s="41" t="s">
        <v>45</v>
      </c>
      <c r="D26" s="60">
        <v>4.06</v>
      </c>
      <c r="E26" s="43"/>
      <c r="F26" s="44">
        <v>0.09</v>
      </c>
      <c r="G26" s="61">
        <f t="shared" si="11"/>
        <v>0.36539999999999995</v>
      </c>
      <c r="H26" s="45">
        <v>0.27</v>
      </c>
      <c r="I26" s="46">
        <f t="shared" si="0"/>
        <v>1.194858</v>
      </c>
      <c r="J26" s="46"/>
      <c r="K26" s="46">
        <f t="shared" si="15"/>
        <v>1.5488899999999999</v>
      </c>
      <c r="L26" s="46"/>
      <c r="M26" s="43"/>
      <c r="N26" s="43"/>
      <c r="O26" s="48">
        <f t="shared" si="1"/>
        <v>7.169148</v>
      </c>
      <c r="P26" s="49">
        <f t="shared" si="2"/>
        <v>10682030.52</v>
      </c>
      <c r="Q26" s="50">
        <f t="shared" si="3"/>
        <v>1465482.2735</v>
      </c>
      <c r="R26" s="50">
        <f t="shared" si="4"/>
        <v>669934.7536</v>
      </c>
      <c r="S26" s="50">
        <f t="shared" si="5"/>
        <v>251225.53259999998</v>
      </c>
      <c r="T26" s="50">
        <f t="shared" si="6"/>
        <v>125612.76629999999</v>
      </c>
      <c r="U26" s="50">
        <f t="shared" si="12"/>
        <v>83741.8442</v>
      </c>
      <c r="V26" s="50">
        <f t="shared" si="13"/>
        <v>83741.8442</v>
      </c>
      <c r="W26" s="50">
        <f t="shared" si="7"/>
        <v>502451.06520000007</v>
      </c>
      <c r="X26" s="50">
        <f t="shared" si="14"/>
        <v>98027.411559</v>
      </c>
      <c r="Y26" s="51">
        <f t="shared" si="8"/>
        <v>977316.7756590002</v>
      </c>
      <c r="Z26" s="52">
        <f t="shared" si="9"/>
        <v>9704713.744340999</v>
      </c>
      <c r="AA26" s="50"/>
      <c r="AB26" s="53">
        <f t="shared" si="10"/>
        <v>260991.28066666663</v>
      </c>
      <c r="AC26" s="53"/>
    </row>
    <row r="27" spans="1:29" s="38" customFormat="1" ht="19.5" customHeight="1">
      <c r="A27" s="39">
        <f>IF(B27="","",MAX($A26:A26)+1)</f>
        <v>19</v>
      </c>
      <c r="B27" s="64" t="s">
        <v>62</v>
      </c>
      <c r="C27" s="41" t="s">
        <v>45</v>
      </c>
      <c r="D27" s="60">
        <v>4.06</v>
      </c>
      <c r="E27" s="43"/>
      <c r="F27" s="44">
        <v>0.13</v>
      </c>
      <c r="G27" s="61">
        <f t="shared" si="11"/>
        <v>0.5277999999999999</v>
      </c>
      <c r="H27" s="45">
        <v>0.34</v>
      </c>
      <c r="I27" s="46">
        <f t="shared" si="0"/>
        <v>1.559852</v>
      </c>
      <c r="J27" s="46"/>
      <c r="K27" s="46">
        <f t="shared" si="15"/>
        <v>1.6057299999999999</v>
      </c>
      <c r="L27" s="46"/>
      <c r="M27" s="43"/>
      <c r="N27" s="43"/>
      <c r="O27" s="48">
        <f t="shared" si="1"/>
        <v>7.753382</v>
      </c>
      <c r="P27" s="49">
        <f t="shared" si="2"/>
        <v>11552539.18</v>
      </c>
      <c r="Q27" s="50">
        <f t="shared" si="3"/>
        <v>1603000.259</v>
      </c>
      <c r="R27" s="50">
        <f t="shared" si="4"/>
        <v>732800.1184</v>
      </c>
      <c r="S27" s="50">
        <f t="shared" si="5"/>
        <v>274800.0444</v>
      </c>
      <c r="T27" s="50">
        <f t="shared" si="6"/>
        <v>137400.0222</v>
      </c>
      <c r="U27" s="50">
        <f t="shared" si="12"/>
        <v>91600.0148</v>
      </c>
      <c r="V27" s="50">
        <f t="shared" si="13"/>
        <v>91600.0148</v>
      </c>
      <c r="W27" s="50">
        <f t="shared" si="7"/>
        <v>549600.0888</v>
      </c>
      <c r="X27" s="50">
        <f t="shared" si="14"/>
        <v>105907.390246</v>
      </c>
      <c r="Y27" s="51">
        <f t="shared" si="8"/>
        <v>1067707.545646</v>
      </c>
      <c r="Z27" s="52">
        <f t="shared" si="9"/>
        <v>10484831.634353999</v>
      </c>
      <c r="AA27" s="50"/>
      <c r="AB27" s="53">
        <f t="shared" si="10"/>
        <v>279119.316</v>
      </c>
      <c r="AC27" s="53"/>
    </row>
    <row r="28" spans="1:29" s="38" customFormat="1" ht="19.5" customHeight="1">
      <c r="A28" s="39">
        <f>IF(B28="","",MAX($A27:A27)+1)</f>
        <v>20</v>
      </c>
      <c r="B28" s="40" t="s">
        <v>63</v>
      </c>
      <c r="C28" s="41" t="s">
        <v>60</v>
      </c>
      <c r="D28" s="63">
        <v>4.65</v>
      </c>
      <c r="E28" s="43"/>
      <c r="F28" s="44"/>
      <c r="G28" s="61">
        <f t="shared" si="11"/>
        <v>0</v>
      </c>
      <c r="H28" s="45">
        <v>0.3</v>
      </c>
      <c r="I28" s="46">
        <f t="shared" si="0"/>
        <v>1.395</v>
      </c>
      <c r="J28" s="46">
        <f>(D28+E28+G28)*0.35</f>
        <v>1.6275</v>
      </c>
      <c r="K28" s="46">
        <f t="shared" si="15"/>
        <v>1.6275</v>
      </c>
      <c r="L28" s="46">
        <f>SUM(D28:E28,G28)*70%</f>
        <v>3.255</v>
      </c>
      <c r="M28" s="43"/>
      <c r="N28" s="43"/>
      <c r="O28" s="48">
        <f t="shared" si="1"/>
        <v>12.555</v>
      </c>
      <c r="P28" s="49">
        <f t="shared" si="2"/>
        <v>18706950</v>
      </c>
      <c r="Q28" s="50">
        <f t="shared" si="3"/>
        <v>1576233.75</v>
      </c>
      <c r="R28" s="50">
        <f t="shared" si="4"/>
        <v>720564</v>
      </c>
      <c r="S28" s="50">
        <f t="shared" si="5"/>
        <v>270211.5</v>
      </c>
      <c r="T28" s="50">
        <f t="shared" si="6"/>
        <v>135105.75</v>
      </c>
      <c r="U28" s="50">
        <f t="shared" si="12"/>
        <v>90070.5</v>
      </c>
      <c r="V28" s="50">
        <f t="shared" si="13"/>
        <v>90070.5</v>
      </c>
      <c r="W28" s="50">
        <f t="shared" si="7"/>
        <v>540423</v>
      </c>
      <c r="X28" s="50">
        <f t="shared" si="14"/>
        <v>177612.0975</v>
      </c>
      <c r="Y28" s="51">
        <f t="shared" si="8"/>
        <v>1123352.3475</v>
      </c>
      <c r="Z28" s="52">
        <f t="shared" si="9"/>
        <v>17583597.6525</v>
      </c>
      <c r="AA28" s="50"/>
      <c r="AB28" s="53">
        <f t="shared" si="10"/>
        <v>300235</v>
      </c>
      <c r="AC28" s="53"/>
    </row>
    <row r="29" spans="1:29" s="38" customFormat="1" ht="19.5" customHeight="1">
      <c r="A29" s="39">
        <f>IF(B29="","",MAX($A28:A28)+1)</f>
        <v>21</v>
      </c>
      <c r="B29" s="65" t="s">
        <v>64</v>
      </c>
      <c r="C29" s="41" t="s">
        <v>43</v>
      </c>
      <c r="D29" s="63">
        <v>4.89</v>
      </c>
      <c r="E29" s="43"/>
      <c r="F29" s="44"/>
      <c r="G29" s="61">
        <f t="shared" si="11"/>
        <v>0</v>
      </c>
      <c r="H29" s="45">
        <f>I29/(C29+D29)</f>
        <v>0</v>
      </c>
      <c r="I29" s="46"/>
      <c r="J29" s="46"/>
      <c r="K29" s="46">
        <f t="shared" si="15"/>
        <v>1.7114999999999998</v>
      </c>
      <c r="L29" s="46"/>
      <c r="M29" s="43"/>
      <c r="N29" s="43">
        <v>0.2</v>
      </c>
      <c r="O29" s="48">
        <f t="shared" si="1"/>
        <v>6.8015</v>
      </c>
      <c r="P29" s="49">
        <f t="shared" si="2"/>
        <v>10134235</v>
      </c>
      <c r="Q29" s="50">
        <f t="shared" si="3"/>
        <v>1275067.4999999998</v>
      </c>
      <c r="R29" s="50">
        <f t="shared" si="4"/>
        <v>582887.9999999999</v>
      </c>
      <c r="S29" s="50">
        <f t="shared" si="5"/>
        <v>218582.99999999997</v>
      </c>
      <c r="T29" s="50">
        <f t="shared" si="6"/>
        <v>109291.49999999999</v>
      </c>
      <c r="U29" s="50">
        <f t="shared" si="12"/>
        <v>72860.99999999999</v>
      </c>
      <c r="V29" s="50">
        <f t="shared" si="13"/>
        <v>72860.99999999999</v>
      </c>
      <c r="W29" s="50">
        <f t="shared" si="7"/>
        <v>437165.9999999999</v>
      </c>
      <c r="X29" s="50">
        <f t="shared" si="14"/>
        <v>93691.945</v>
      </c>
      <c r="Y29" s="51">
        <f t="shared" si="8"/>
        <v>858732.4449999998</v>
      </c>
      <c r="Z29" s="52">
        <f t="shared" si="9"/>
        <v>9275502.555</v>
      </c>
      <c r="AA29" s="50"/>
      <c r="AB29" s="53">
        <f t="shared" si="10"/>
        <v>242869.99999999997</v>
      </c>
      <c r="AC29" s="53"/>
    </row>
    <row r="30" spans="1:29" s="38" customFormat="1" ht="19.5" customHeight="1">
      <c r="A30" s="39">
        <f>IF(B30="","",MAX($A29:A29)+1)</f>
        <v>22</v>
      </c>
      <c r="B30" s="40" t="s">
        <v>65</v>
      </c>
      <c r="C30" s="41" t="s">
        <v>47</v>
      </c>
      <c r="D30" s="63">
        <v>4.58</v>
      </c>
      <c r="E30" s="43"/>
      <c r="F30" s="44"/>
      <c r="G30" s="61">
        <f t="shared" si="11"/>
        <v>0</v>
      </c>
      <c r="H30" s="45">
        <v>0.25</v>
      </c>
      <c r="I30" s="46">
        <f t="shared" si="0"/>
        <v>1.145</v>
      </c>
      <c r="J30" s="46"/>
      <c r="K30" s="46">
        <f>SUM(D30:E30,G30)*30%</f>
        <v>1.3739999999999999</v>
      </c>
      <c r="L30" s="46"/>
      <c r="M30" s="43"/>
      <c r="N30" s="43"/>
      <c r="O30" s="48">
        <f t="shared" si="1"/>
        <v>7.098999999999999</v>
      </c>
      <c r="P30" s="49">
        <f t="shared" si="2"/>
        <v>10577509.999999998</v>
      </c>
      <c r="Q30" s="50">
        <f t="shared" si="3"/>
        <v>1492793.75</v>
      </c>
      <c r="R30" s="50">
        <f t="shared" si="4"/>
        <v>682420</v>
      </c>
      <c r="S30" s="50">
        <f t="shared" si="5"/>
        <v>255907.5</v>
      </c>
      <c r="T30" s="50">
        <f t="shared" si="6"/>
        <v>127953.75</v>
      </c>
      <c r="U30" s="50">
        <f t="shared" si="12"/>
        <v>85302.5</v>
      </c>
      <c r="V30" s="50">
        <f t="shared" si="13"/>
        <v>85302.5</v>
      </c>
      <c r="W30" s="50">
        <f t="shared" si="7"/>
        <v>511815</v>
      </c>
      <c r="X30" s="50">
        <f t="shared" si="14"/>
        <v>96818.33749999998</v>
      </c>
      <c r="Y30" s="51">
        <f t="shared" si="8"/>
        <v>992494.5875</v>
      </c>
      <c r="Z30" s="52">
        <f t="shared" si="9"/>
        <v>9585015.412499998</v>
      </c>
      <c r="AA30" s="50"/>
      <c r="AB30" s="53">
        <f t="shared" si="10"/>
        <v>284341.6666666667</v>
      </c>
      <c r="AC30" s="53"/>
    </row>
    <row r="31" spans="1:29" s="38" customFormat="1" ht="19.5" customHeight="1">
      <c r="A31" s="39">
        <f>IF(B31="","",MAX($A30:A30)+1)</f>
        <v>23</v>
      </c>
      <c r="B31" s="40" t="s">
        <v>66</v>
      </c>
      <c r="C31" s="41" t="s">
        <v>43</v>
      </c>
      <c r="D31" s="42">
        <v>4.58</v>
      </c>
      <c r="E31" s="43"/>
      <c r="F31" s="44"/>
      <c r="G31" s="61">
        <f t="shared" si="11"/>
        <v>0</v>
      </c>
      <c r="H31" s="45">
        <v>0.25</v>
      </c>
      <c r="I31" s="46">
        <f t="shared" si="0"/>
        <v>1.145</v>
      </c>
      <c r="J31" s="46">
        <f>(D31+E31+G31)*0.35</f>
        <v>1.603</v>
      </c>
      <c r="K31" s="46">
        <f aca="true" t="shared" si="16" ref="K31:K41">SUM(D31:E31,G31)*35%</f>
        <v>1.603</v>
      </c>
      <c r="L31" s="58">
        <v>0.5</v>
      </c>
      <c r="M31" s="43"/>
      <c r="N31" s="43"/>
      <c r="O31" s="48">
        <f t="shared" si="1"/>
        <v>9.431</v>
      </c>
      <c r="P31" s="49">
        <f t="shared" si="2"/>
        <v>14052189.999999998</v>
      </c>
      <c r="Q31" s="50">
        <f t="shared" si="3"/>
        <v>1492793.75</v>
      </c>
      <c r="R31" s="50">
        <f t="shared" si="4"/>
        <v>682420</v>
      </c>
      <c r="S31" s="50">
        <f t="shared" si="5"/>
        <v>255907.5</v>
      </c>
      <c r="T31" s="50">
        <f t="shared" si="6"/>
        <v>127953.75</v>
      </c>
      <c r="U31" s="50">
        <f t="shared" si="12"/>
        <v>85302.5</v>
      </c>
      <c r="V31" s="50">
        <f t="shared" si="13"/>
        <v>85302.5</v>
      </c>
      <c r="W31" s="50">
        <f t="shared" si="7"/>
        <v>511815</v>
      </c>
      <c r="X31" s="50">
        <f t="shared" si="14"/>
        <v>131565.13749999998</v>
      </c>
      <c r="Y31" s="51">
        <f t="shared" si="8"/>
        <v>1027241.3875</v>
      </c>
      <c r="Z31" s="52">
        <f t="shared" si="9"/>
        <v>13024948.612499999</v>
      </c>
      <c r="AA31" s="50"/>
      <c r="AB31" s="53">
        <f t="shared" si="10"/>
        <v>284341.6666666667</v>
      </c>
      <c r="AC31" s="53"/>
    </row>
    <row r="32" spans="1:29" s="38" customFormat="1" ht="19.5" customHeight="1">
      <c r="A32" s="39">
        <f>IF(B32="","",MAX($A31:A31)+1)</f>
        <v>24</v>
      </c>
      <c r="B32" s="65" t="s">
        <v>67</v>
      </c>
      <c r="C32" s="41" t="s">
        <v>47</v>
      </c>
      <c r="D32" s="42">
        <v>4.58</v>
      </c>
      <c r="E32" s="43"/>
      <c r="F32" s="44"/>
      <c r="G32" s="61">
        <f t="shared" si="11"/>
        <v>0</v>
      </c>
      <c r="H32" s="45">
        <v>0.28</v>
      </c>
      <c r="I32" s="46">
        <f t="shared" si="0"/>
        <v>1.2824000000000002</v>
      </c>
      <c r="J32" s="46">
        <f>(D32+E32+G32)*0.35</f>
        <v>1.603</v>
      </c>
      <c r="K32" s="46">
        <f t="shared" si="16"/>
        <v>1.603</v>
      </c>
      <c r="L32" s="46">
        <v>0.5</v>
      </c>
      <c r="M32" s="43"/>
      <c r="N32" s="43"/>
      <c r="O32" s="48">
        <f t="shared" si="1"/>
        <v>9.5684</v>
      </c>
      <c r="P32" s="49">
        <f t="shared" si="2"/>
        <v>14256916</v>
      </c>
      <c r="Q32" s="50">
        <f t="shared" si="3"/>
        <v>1528620.7999999998</v>
      </c>
      <c r="R32" s="50">
        <f t="shared" si="4"/>
        <v>698798.08</v>
      </c>
      <c r="S32" s="50">
        <f t="shared" si="5"/>
        <v>262049.28</v>
      </c>
      <c r="T32" s="50">
        <f t="shared" si="6"/>
        <v>131024.64</v>
      </c>
      <c r="U32" s="50">
        <f t="shared" si="12"/>
        <v>87349.76</v>
      </c>
      <c r="V32" s="50">
        <f t="shared" si="13"/>
        <v>87349.76</v>
      </c>
      <c r="W32" s="50">
        <f t="shared" si="7"/>
        <v>524098.55999999994</v>
      </c>
      <c r="X32" s="50">
        <f t="shared" si="14"/>
        <v>133397.4352</v>
      </c>
      <c r="Y32" s="51">
        <f t="shared" si="8"/>
        <v>1050569.9152</v>
      </c>
      <c r="Z32" s="52">
        <f t="shared" si="9"/>
        <v>13206346.0848</v>
      </c>
      <c r="AA32" s="50"/>
      <c r="AB32" s="53">
        <f t="shared" si="10"/>
        <v>291165.86666666664</v>
      </c>
      <c r="AC32" s="53"/>
    </row>
    <row r="33" spans="1:29" s="38" customFormat="1" ht="19.5" customHeight="1">
      <c r="A33" s="39">
        <f>IF(B33="","",MAX($A32:A32)+1)</f>
        <v>25</v>
      </c>
      <c r="B33" s="40" t="s">
        <v>68</v>
      </c>
      <c r="C33" s="41" t="s">
        <v>43</v>
      </c>
      <c r="D33" s="42">
        <v>4.58</v>
      </c>
      <c r="E33" s="43"/>
      <c r="F33" s="44"/>
      <c r="G33" s="61">
        <f t="shared" si="11"/>
        <v>0</v>
      </c>
      <c r="H33" s="45">
        <v>0.34</v>
      </c>
      <c r="I33" s="46">
        <f t="shared" si="0"/>
        <v>1.5572000000000001</v>
      </c>
      <c r="J33" s="46"/>
      <c r="K33" s="46">
        <f t="shared" si="16"/>
        <v>1.603</v>
      </c>
      <c r="L33" s="46"/>
      <c r="M33" s="43"/>
      <c r="N33" s="43"/>
      <c r="O33" s="48">
        <f t="shared" si="1"/>
        <v>7.7402</v>
      </c>
      <c r="P33" s="49">
        <f t="shared" si="2"/>
        <v>11532898</v>
      </c>
      <c r="Q33" s="50">
        <f t="shared" si="3"/>
        <v>1600274.9</v>
      </c>
      <c r="R33" s="50">
        <f t="shared" si="4"/>
        <v>731554.24</v>
      </c>
      <c r="S33" s="50">
        <f t="shared" si="5"/>
        <v>274332.83999999997</v>
      </c>
      <c r="T33" s="50">
        <f t="shared" si="6"/>
        <v>137166.41999999998</v>
      </c>
      <c r="U33" s="50">
        <f t="shared" si="12"/>
        <v>91444.28</v>
      </c>
      <c r="V33" s="50">
        <f t="shared" si="13"/>
        <v>91444.28</v>
      </c>
      <c r="W33" s="50">
        <f t="shared" si="7"/>
        <v>548665.6799999999</v>
      </c>
      <c r="X33" s="50">
        <f t="shared" si="14"/>
        <v>105727.3306</v>
      </c>
      <c r="Y33" s="51">
        <f t="shared" si="8"/>
        <v>1065892.2706</v>
      </c>
      <c r="Z33" s="52">
        <f t="shared" si="9"/>
        <v>10467005.7294</v>
      </c>
      <c r="AA33" s="50"/>
      <c r="AB33" s="53">
        <f t="shared" si="10"/>
        <v>304814.26666666666</v>
      </c>
      <c r="AC33" s="53"/>
    </row>
    <row r="34" spans="1:29" s="38" customFormat="1" ht="19.5" customHeight="1">
      <c r="A34" s="39">
        <f>IF(B34="","",MAX($A33:A33)+1)</f>
        <v>26</v>
      </c>
      <c r="B34" s="62" t="s">
        <v>69</v>
      </c>
      <c r="C34" s="41" t="s">
        <v>45</v>
      </c>
      <c r="D34" s="60">
        <v>4.06</v>
      </c>
      <c r="E34" s="43"/>
      <c r="F34" s="44">
        <v>0.08</v>
      </c>
      <c r="G34" s="61">
        <f t="shared" si="11"/>
        <v>0.3248</v>
      </c>
      <c r="H34" s="45">
        <v>0.13</v>
      </c>
      <c r="I34" s="46">
        <f t="shared" si="0"/>
        <v>0.570024</v>
      </c>
      <c r="J34" s="46"/>
      <c r="K34" s="46">
        <f t="shared" si="16"/>
        <v>1.5346799999999996</v>
      </c>
      <c r="L34" s="46"/>
      <c r="M34" s="43"/>
      <c r="N34" s="43"/>
      <c r="O34" s="48">
        <f t="shared" si="1"/>
        <v>6.489503999999999</v>
      </c>
      <c r="P34" s="49">
        <f t="shared" si="2"/>
        <v>9669360.959999999</v>
      </c>
      <c r="Q34" s="50">
        <f t="shared" si="3"/>
        <v>1291970.3579999998</v>
      </c>
      <c r="R34" s="50">
        <f t="shared" si="4"/>
        <v>590615.0207999999</v>
      </c>
      <c r="S34" s="50">
        <f t="shared" si="5"/>
        <v>221480.63279999996</v>
      </c>
      <c r="T34" s="50">
        <f t="shared" si="6"/>
        <v>110740.31639999998</v>
      </c>
      <c r="U34" s="50">
        <f t="shared" si="12"/>
        <v>73826.87759999999</v>
      </c>
      <c r="V34" s="50">
        <f t="shared" si="13"/>
        <v>73826.87759999999</v>
      </c>
      <c r="W34" s="50">
        <f t="shared" si="7"/>
        <v>442961.2655999999</v>
      </c>
      <c r="X34" s="50">
        <f t="shared" si="14"/>
        <v>88941.78745199999</v>
      </c>
      <c r="Y34" s="51">
        <f t="shared" si="8"/>
        <v>864124.0022519999</v>
      </c>
      <c r="Z34" s="52">
        <f t="shared" si="9"/>
        <v>8805236.957748</v>
      </c>
      <c r="AA34" s="50"/>
      <c r="AB34" s="53">
        <f t="shared" si="10"/>
        <v>229957.85866666667</v>
      </c>
      <c r="AC34" s="53"/>
    </row>
    <row r="35" spans="1:29" s="38" customFormat="1" ht="19.5" customHeight="1">
      <c r="A35" s="39">
        <f>IF(B35="","",MAX($A34:A34)+1)</f>
        <v>27</v>
      </c>
      <c r="B35" s="40" t="s">
        <v>70</v>
      </c>
      <c r="C35" s="41" t="s">
        <v>45</v>
      </c>
      <c r="D35" s="42">
        <v>4.06</v>
      </c>
      <c r="E35" s="43"/>
      <c r="F35" s="44">
        <v>0.05</v>
      </c>
      <c r="G35" s="61">
        <f t="shared" si="11"/>
        <v>0.20299999999999999</v>
      </c>
      <c r="H35" s="45">
        <v>0.24</v>
      </c>
      <c r="I35" s="46">
        <f t="shared" si="0"/>
        <v>1.02312</v>
      </c>
      <c r="J35" s="46">
        <f>(D35+E35+G35)*0.35</f>
        <v>1.4920499999999999</v>
      </c>
      <c r="K35" s="46">
        <f t="shared" si="16"/>
        <v>1.4920499999999999</v>
      </c>
      <c r="L35" s="46">
        <v>0.5</v>
      </c>
      <c r="M35" s="43"/>
      <c r="N35" s="43"/>
      <c r="O35" s="48">
        <f t="shared" si="1"/>
        <v>8.77022</v>
      </c>
      <c r="P35" s="49">
        <f t="shared" si="2"/>
        <v>13067627.8</v>
      </c>
      <c r="Q35" s="50">
        <f t="shared" si="3"/>
        <v>1378355.79</v>
      </c>
      <c r="R35" s="50">
        <f t="shared" si="4"/>
        <v>630105.504</v>
      </c>
      <c r="S35" s="50">
        <f t="shared" si="5"/>
        <v>236289.564</v>
      </c>
      <c r="T35" s="50">
        <f t="shared" si="6"/>
        <v>118144.782</v>
      </c>
      <c r="U35" s="50">
        <f t="shared" si="12"/>
        <v>78763.18800000001</v>
      </c>
      <c r="V35" s="50">
        <f t="shared" si="13"/>
        <v>78763.18800000001</v>
      </c>
      <c r="W35" s="50">
        <f t="shared" si="7"/>
        <v>472579.128</v>
      </c>
      <c r="X35" s="50">
        <f t="shared" si="14"/>
        <v>122406.14326000001</v>
      </c>
      <c r="Y35" s="51">
        <f t="shared" si="8"/>
        <v>949419.61726</v>
      </c>
      <c r="Z35" s="52">
        <f t="shared" si="9"/>
        <v>12118208.182740001</v>
      </c>
      <c r="AA35" s="50"/>
      <c r="AB35" s="53">
        <f t="shared" si="10"/>
        <v>252461.62666666662</v>
      </c>
      <c r="AC35" s="53"/>
    </row>
    <row r="36" spans="1:29" s="38" customFormat="1" ht="19.5" customHeight="1">
      <c r="A36" s="39">
        <f>IF(B36="","",MAX($A35:A35)+1)</f>
        <v>28</v>
      </c>
      <c r="B36" s="40" t="s">
        <v>71</v>
      </c>
      <c r="C36" s="41" t="s">
        <v>60</v>
      </c>
      <c r="D36" s="42">
        <v>4.65</v>
      </c>
      <c r="E36" s="43"/>
      <c r="F36" s="44"/>
      <c r="G36" s="61">
        <f t="shared" si="11"/>
        <v>0</v>
      </c>
      <c r="H36" s="45">
        <v>0.25</v>
      </c>
      <c r="I36" s="46">
        <f t="shared" si="0"/>
        <v>1.1625</v>
      </c>
      <c r="J36" s="46">
        <f>(D36+E36+G36)*0.35</f>
        <v>1.6275</v>
      </c>
      <c r="K36" s="46">
        <f t="shared" si="16"/>
        <v>1.6275</v>
      </c>
      <c r="L36" s="58">
        <v>0.5</v>
      </c>
      <c r="M36" s="43"/>
      <c r="N36" s="43"/>
      <c r="O36" s="48">
        <f t="shared" si="1"/>
        <v>9.567499999999999</v>
      </c>
      <c r="P36" s="49">
        <f t="shared" si="2"/>
        <v>14255574.999999998</v>
      </c>
      <c r="Q36" s="50">
        <f t="shared" si="3"/>
        <v>1515609.375</v>
      </c>
      <c r="R36" s="50">
        <f t="shared" si="4"/>
        <v>692850</v>
      </c>
      <c r="S36" s="50">
        <f t="shared" si="5"/>
        <v>259818.75</v>
      </c>
      <c r="T36" s="50">
        <f t="shared" si="6"/>
        <v>129909.375</v>
      </c>
      <c r="U36" s="50">
        <f t="shared" si="12"/>
        <v>86606.25</v>
      </c>
      <c r="V36" s="50">
        <f t="shared" si="13"/>
        <v>86606.25</v>
      </c>
      <c r="W36" s="50">
        <f t="shared" si="7"/>
        <v>519637.5</v>
      </c>
      <c r="X36" s="50">
        <f t="shared" si="14"/>
        <v>133462.09374999997</v>
      </c>
      <c r="Y36" s="51">
        <f t="shared" si="8"/>
        <v>1042827.71875</v>
      </c>
      <c r="Z36" s="52">
        <f t="shared" si="9"/>
        <v>13212747.281249998</v>
      </c>
      <c r="AA36" s="50"/>
      <c r="AB36" s="53">
        <f t="shared" si="10"/>
        <v>288687.5</v>
      </c>
      <c r="AC36" s="53"/>
    </row>
    <row r="37" spans="1:29" s="38" customFormat="1" ht="19.5" customHeight="1">
      <c r="A37" s="39">
        <f>IF(B37="","",MAX($A36:A36)+1)</f>
        <v>29</v>
      </c>
      <c r="B37" s="40" t="s">
        <v>72</v>
      </c>
      <c r="C37" s="41" t="s">
        <v>43</v>
      </c>
      <c r="D37" s="42">
        <v>4.27</v>
      </c>
      <c r="E37" s="43"/>
      <c r="F37" s="44"/>
      <c r="G37" s="61">
        <f t="shared" si="11"/>
        <v>0</v>
      </c>
      <c r="H37" s="45">
        <v>0.22</v>
      </c>
      <c r="I37" s="46">
        <f t="shared" si="0"/>
        <v>0.9393999999999999</v>
      </c>
      <c r="J37" s="46"/>
      <c r="K37" s="46">
        <f t="shared" si="16"/>
        <v>1.4944999999999997</v>
      </c>
      <c r="L37" s="46"/>
      <c r="M37" s="43"/>
      <c r="N37" s="43"/>
      <c r="O37" s="48">
        <f t="shared" si="1"/>
        <v>6.703899999999999</v>
      </c>
      <c r="P37" s="49">
        <f t="shared" si="2"/>
        <v>9988810.999999998</v>
      </c>
      <c r="Q37" s="50">
        <f t="shared" si="3"/>
        <v>1358351.0499999998</v>
      </c>
      <c r="R37" s="50">
        <f t="shared" si="4"/>
        <v>620960.48</v>
      </c>
      <c r="S37" s="50">
        <f t="shared" si="5"/>
        <v>232860.17999999996</v>
      </c>
      <c r="T37" s="50">
        <f t="shared" si="6"/>
        <v>116430.08999999998</v>
      </c>
      <c r="U37" s="50">
        <f t="shared" si="12"/>
        <v>77620.06</v>
      </c>
      <c r="V37" s="50">
        <f t="shared" si="13"/>
        <v>77620.06</v>
      </c>
      <c r="W37" s="50">
        <f t="shared" si="7"/>
        <v>465720.36</v>
      </c>
      <c r="X37" s="50">
        <f t="shared" si="14"/>
        <v>91738.00369999997</v>
      </c>
      <c r="Y37" s="51">
        <f t="shared" si="8"/>
        <v>906748.6336999999</v>
      </c>
      <c r="Z37" s="52">
        <f t="shared" si="9"/>
        <v>9082062.366299998</v>
      </c>
      <c r="AA37" s="50"/>
      <c r="AB37" s="53">
        <f t="shared" si="10"/>
        <v>258733.5333333333</v>
      </c>
      <c r="AC37" s="53"/>
    </row>
    <row r="38" spans="1:29" s="38" customFormat="1" ht="19.5" customHeight="1">
      <c r="A38" s="39">
        <f>IF(B38="","",MAX($A37:A37)+1)</f>
        <v>30</v>
      </c>
      <c r="B38" s="40" t="s">
        <v>73</v>
      </c>
      <c r="C38" s="41" t="s">
        <v>43</v>
      </c>
      <c r="D38" s="42">
        <v>4.27</v>
      </c>
      <c r="E38" s="43"/>
      <c r="F38" s="44"/>
      <c r="G38" s="61">
        <f t="shared" si="11"/>
        <v>0</v>
      </c>
      <c r="H38" s="45">
        <v>0.22</v>
      </c>
      <c r="I38" s="46">
        <f t="shared" si="0"/>
        <v>0.9393999999999999</v>
      </c>
      <c r="J38" s="46">
        <f>(D38+E38+G38)*0.35</f>
        <v>1.4944999999999997</v>
      </c>
      <c r="K38" s="46">
        <f t="shared" si="16"/>
        <v>1.4944999999999997</v>
      </c>
      <c r="L38" s="58">
        <v>0.5</v>
      </c>
      <c r="M38" s="43"/>
      <c r="N38" s="43"/>
      <c r="O38" s="48">
        <f t="shared" si="1"/>
        <v>8.6984</v>
      </c>
      <c r="P38" s="49">
        <f t="shared" si="2"/>
        <v>12960616</v>
      </c>
      <c r="Q38" s="50">
        <f t="shared" si="3"/>
        <v>1358351.0499999998</v>
      </c>
      <c r="R38" s="50">
        <f t="shared" si="4"/>
        <v>620960.48</v>
      </c>
      <c r="S38" s="50">
        <f t="shared" si="5"/>
        <v>232860.17999999996</v>
      </c>
      <c r="T38" s="50">
        <f t="shared" si="6"/>
        <v>116430.08999999998</v>
      </c>
      <c r="U38" s="50">
        <f t="shared" si="12"/>
        <v>77620.06</v>
      </c>
      <c r="V38" s="50">
        <f t="shared" si="13"/>
        <v>77620.06</v>
      </c>
      <c r="W38" s="50">
        <f t="shared" si="7"/>
        <v>465720.36</v>
      </c>
      <c r="X38" s="50">
        <f t="shared" si="14"/>
        <v>121456.05370000002</v>
      </c>
      <c r="Y38" s="51">
        <f t="shared" si="8"/>
        <v>936466.6836999999</v>
      </c>
      <c r="Z38" s="52">
        <f t="shared" si="9"/>
        <v>12024149.316300001</v>
      </c>
      <c r="AA38" s="50"/>
      <c r="AB38" s="53">
        <f t="shared" si="10"/>
        <v>258733.5333333333</v>
      </c>
      <c r="AC38" s="53"/>
    </row>
    <row r="39" spans="1:29" s="38" customFormat="1" ht="19.5" customHeight="1">
      <c r="A39" s="39">
        <f>IF(B39="","",MAX($A38:A38)+1)</f>
        <v>31</v>
      </c>
      <c r="B39" s="40" t="s">
        <v>74</v>
      </c>
      <c r="C39" s="41" t="s">
        <v>43</v>
      </c>
      <c r="D39" s="42">
        <v>4.27</v>
      </c>
      <c r="E39" s="43"/>
      <c r="F39" s="44"/>
      <c r="G39" s="61">
        <f t="shared" si="11"/>
        <v>0</v>
      </c>
      <c r="H39" s="45">
        <v>0.22</v>
      </c>
      <c r="I39" s="46">
        <f t="shared" si="0"/>
        <v>0.9393999999999999</v>
      </c>
      <c r="J39" s="46"/>
      <c r="K39" s="46">
        <f t="shared" si="16"/>
        <v>1.4944999999999997</v>
      </c>
      <c r="L39" s="46"/>
      <c r="M39" s="43"/>
      <c r="N39" s="43"/>
      <c r="O39" s="48">
        <f t="shared" si="1"/>
        <v>6.703899999999999</v>
      </c>
      <c r="P39" s="49">
        <f t="shared" si="2"/>
        <v>9988810.999999998</v>
      </c>
      <c r="Q39" s="50">
        <f t="shared" si="3"/>
        <v>1358351.0499999998</v>
      </c>
      <c r="R39" s="50">
        <f t="shared" si="4"/>
        <v>620960.48</v>
      </c>
      <c r="S39" s="50">
        <f t="shared" si="5"/>
        <v>232860.17999999996</v>
      </c>
      <c r="T39" s="50">
        <f t="shared" si="6"/>
        <v>116430.08999999998</v>
      </c>
      <c r="U39" s="50">
        <f t="shared" si="12"/>
        <v>77620.06</v>
      </c>
      <c r="V39" s="50">
        <f t="shared" si="13"/>
        <v>77620.06</v>
      </c>
      <c r="W39" s="50">
        <f t="shared" si="7"/>
        <v>465720.36</v>
      </c>
      <c r="X39" s="50">
        <f t="shared" si="14"/>
        <v>91738.00369999997</v>
      </c>
      <c r="Y39" s="51">
        <f t="shared" si="8"/>
        <v>906748.6336999999</v>
      </c>
      <c r="Z39" s="52">
        <f t="shared" si="9"/>
        <v>9082062.366299998</v>
      </c>
      <c r="AA39" s="50"/>
      <c r="AB39" s="53">
        <f t="shared" si="10"/>
        <v>258733.5333333333</v>
      </c>
      <c r="AC39" s="53"/>
    </row>
    <row r="40" spans="1:29" s="38" customFormat="1" ht="19.5" customHeight="1">
      <c r="A40" s="39">
        <f>IF(B40="","",MAX($A39:A39)+1)</f>
        <v>32</v>
      </c>
      <c r="B40" s="40" t="s">
        <v>75</v>
      </c>
      <c r="C40" s="41" t="s">
        <v>43</v>
      </c>
      <c r="D40" s="42">
        <v>4.27</v>
      </c>
      <c r="E40" s="43"/>
      <c r="F40" s="44"/>
      <c r="G40" s="61">
        <f t="shared" si="11"/>
        <v>0</v>
      </c>
      <c r="H40" s="45">
        <v>0.23</v>
      </c>
      <c r="I40" s="46">
        <f t="shared" si="0"/>
        <v>0.9821</v>
      </c>
      <c r="J40" s="46"/>
      <c r="K40" s="46">
        <f t="shared" si="16"/>
        <v>1.4944999999999997</v>
      </c>
      <c r="L40" s="46"/>
      <c r="M40" s="43"/>
      <c r="N40" s="43"/>
      <c r="O40" s="48">
        <f t="shared" si="1"/>
        <v>6.746599999999999</v>
      </c>
      <c r="P40" s="49">
        <f t="shared" si="2"/>
        <v>10052433.999999998</v>
      </c>
      <c r="Q40" s="50">
        <f t="shared" si="3"/>
        <v>1369485.0749999997</v>
      </c>
      <c r="R40" s="50">
        <f t="shared" si="4"/>
        <v>626050.32</v>
      </c>
      <c r="S40" s="50">
        <f t="shared" si="5"/>
        <v>234768.86999999997</v>
      </c>
      <c r="T40" s="50">
        <f t="shared" si="6"/>
        <v>117384.43499999998</v>
      </c>
      <c r="U40" s="50">
        <f t="shared" si="12"/>
        <v>78256.29</v>
      </c>
      <c r="V40" s="50">
        <f t="shared" si="13"/>
        <v>78256.29</v>
      </c>
      <c r="W40" s="50">
        <f t="shared" si="7"/>
        <v>469537.74</v>
      </c>
      <c r="X40" s="50">
        <f t="shared" si="14"/>
        <v>92307.42954999999</v>
      </c>
      <c r="Y40" s="51">
        <f t="shared" si="8"/>
        <v>913998.4745499999</v>
      </c>
      <c r="Z40" s="52">
        <f t="shared" si="9"/>
        <v>9138435.525449999</v>
      </c>
      <c r="AA40" s="50"/>
      <c r="AB40" s="53">
        <f t="shared" si="10"/>
        <v>260854.29999999996</v>
      </c>
      <c r="AC40" s="53"/>
    </row>
    <row r="41" spans="1:29" s="38" customFormat="1" ht="19.5" customHeight="1">
      <c r="A41" s="39">
        <f>IF(B41="","",MAX($A40:A40)+1)</f>
        <v>33</v>
      </c>
      <c r="B41" s="40" t="s">
        <v>76</v>
      </c>
      <c r="C41" s="41" t="s">
        <v>45</v>
      </c>
      <c r="D41" s="42">
        <v>4.06</v>
      </c>
      <c r="E41" s="43"/>
      <c r="F41" s="44">
        <v>0.05</v>
      </c>
      <c r="G41" s="61">
        <f t="shared" si="11"/>
        <v>0.20299999999999999</v>
      </c>
      <c r="H41" s="45">
        <f>I41/(C41+D41)</f>
        <v>0</v>
      </c>
      <c r="I41" s="46"/>
      <c r="J41" s="46"/>
      <c r="K41" s="46">
        <f t="shared" si="16"/>
        <v>1.4920499999999999</v>
      </c>
      <c r="L41" s="46"/>
      <c r="M41" s="43"/>
      <c r="N41" s="43">
        <v>0.2</v>
      </c>
      <c r="O41" s="48">
        <f t="shared" si="1"/>
        <v>5.95505</v>
      </c>
      <c r="P41" s="49">
        <f t="shared" si="2"/>
        <v>8873024.5</v>
      </c>
      <c r="Q41" s="50">
        <f t="shared" si="3"/>
        <v>1111577.25</v>
      </c>
      <c r="R41" s="50">
        <f t="shared" si="4"/>
        <v>508149.60000000003</v>
      </c>
      <c r="S41" s="50">
        <f t="shared" si="5"/>
        <v>190556.1</v>
      </c>
      <c r="T41" s="50">
        <f t="shared" si="6"/>
        <v>95278.05</v>
      </c>
      <c r="U41" s="50">
        <f t="shared" si="12"/>
        <v>63518.700000000004</v>
      </c>
      <c r="V41" s="50">
        <f t="shared" si="13"/>
        <v>63518.700000000004</v>
      </c>
      <c r="W41" s="50">
        <f t="shared" si="7"/>
        <v>381112.2</v>
      </c>
      <c r="X41" s="50">
        <f t="shared" si="14"/>
        <v>82060.78150000001</v>
      </c>
      <c r="Y41" s="51">
        <f t="shared" si="8"/>
        <v>749007.1315</v>
      </c>
      <c r="Z41" s="52">
        <f t="shared" si="9"/>
        <v>8124017.3685</v>
      </c>
      <c r="AA41" s="50"/>
      <c r="AB41" s="53">
        <f t="shared" si="10"/>
        <v>201646.66666666663</v>
      </c>
      <c r="AC41" s="53"/>
    </row>
    <row r="42" spans="1:29" s="38" customFormat="1" ht="19.5" customHeight="1">
      <c r="A42" s="39">
        <f>IF(B42="","",MAX($A41:A41)+1)</f>
        <v>34</v>
      </c>
      <c r="B42" s="66" t="s">
        <v>77</v>
      </c>
      <c r="C42" s="41" t="s">
        <v>47</v>
      </c>
      <c r="D42" s="63">
        <v>3.96</v>
      </c>
      <c r="E42" s="43">
        <v>0.15</v>
      </c>
      <c r="F42" s="44"/>
      <c r="G42" s="61">
        <f t="shared" si="11"/>
        <v>0</v>
      </c>
      <c r="H42" s="45">
        <v>0.18</v>
      </c>
      <c r="I42" s="46">
        <f t="shared" si="0"/>
        <v>0.7398</v>
      </c>
      <c r="J42" s="46"/>
      <c r="K42" s="46">
        <f>SUM(D42:E42,G42)*30%</f>
        <v>1.233</v>
      </c>
      <c r="L42" s="46"/>
      <c r="M42" s="43"/>
      <c r="N42" s="43"/>
      <c r="O42" s="48">
        <f t="shared" si="1"/>
        <v>6.082800000000001</v>
      </c>
      <c r="P42" s="49">
        <f t="shared" si="2"/>
        <v>9063372.000000002</v>
      </c>
      <c r="Q42" s="50">
        <f t="shared" si="3"/>
        <v>1264585.3499999999</v>
      </c>
      <c r="R42" s="50">
        <f t="shared" si="4"/>
        <v>578096.16</v>
      </c>
      <c r="S42" s="50">
        <f t="shared" si="5"/>
        <v>216786.06</v>
      </c>
      <c r="T42" s="50">
        <f t="shared" si="6"/>
        <v>108393.03</v>
      </c>
      <c r="U42" s="50">
        <f t="shared" si="12"/>
        <v>72262.02</v>
      </c>
      <c r="V42" s="50">
        <f t="shared" si="13"/>
        <v>72262.02</v>
      </c>
      <c r="W42" s="50">
        <f t="shared" si="7"/>
        <v>433572.12</v>
      </c>
      <c r="X42" s="50">
        <f t="shared" si="14"/>
        <v>83046.20790000002</v>
      </c>
      <c r="Y42" s="51">
        <f t="shared" si="8"/>
        <v>841797.4179000001</v>
      </c>
      <c r="Z42" s="52">
        <f t="shared" si="9"/>
        <v>8221574.582100002</v>
      </c>
      <c r="AA42" s="50"/>
      <c r="AB42" s="53">
        <f t="shared" si="10"/>
        <v>240873.4</v>
      </c>
      <c r="AC42" s="53"/>
    </row>
    <row r="43" spans="1:29" s="38" customFormat="1" ht="19.5" customHeight="1">
      <c r="A43" s="39">
        <f>IF(B43="","",MAX($A42:A42)+1)</f>
        <v>35</v>
      </c>
      <c r="B43" s="65" t="s">
        <v>78</v>
      </c>
      <c r="C43" s="41" t="s">
        <v>47</v>
      </c>
      <c r="D43" s="63">
        <v>3.96</v>
      </c>
      <c r="E43" s="43"/>
      <c r="F43" s="44"/>
      <c r="G43" s="61">
        <f t="shared" si="11"/>
        <v>0</v>
      </c>
      <c r="H43" s="45">
        <v>0.19</v>
      </c>
      <c r="I43" s="46">
        <f t="shared" si="0"/>
        <v>0.7524</v>
      </c>
      <c r="J43" s="46">
        <f>(D43+E43+G43)*0.35</f>
        <v>1.386</v>
      </c>
      <c r="K43" s="46">
        <f>SUM(D43:E43,G43)*35%</f>
        <v>1.386</v>
      </c>
      <c r="L43" s="58">
        <v>0.5</v>
      </c>
      <c r="M43" s="43"/>
      <c r="N43" s="43"/>
      <c r="O43" s="48">
        <f t="shared" si="1"/>
        <v>7.9844</v>
      </c>
      <c r="P43" s="49">
        <f t="shared" si="2"/>
        <v>11896756</v>
      </c>
      <c r="Q43" s="50">
        <f t="shared" si="3"/>
        <v>1228758.2999999998</v>
      </c>
      <c r="R43" s="50">
        <f t="shared" si="4"/>
        <v>561718.08</v>
      </c>
      <c r="S43" s="50">
        <f t="shared" si="5"/>
        <v>210644.28</v>
      </c>
      <c r="T43" s="50">
        <f t="shared" si="6"/>
        <v>105322.14</v>
      </c>
      <c r="U43" s="50">
        <f t="shared" si="12"/>
        <v>70214.76</v>
      </c>
      <c r="V43" s="50">
        <f t="shared" si="13"/>
        <v>70214.76</v>
      </c>
      <c r="W43" s="50">
        <f t="shared" si="7"/>
        <v>421288.55999999994</v>
      </c>
      <c r="X43" s="50">
        <f t="shared" si="14"/>
        <v>111595.0102</v>
      </c>
      <c r="Y43" s="51">
        <f t="shared" si="8"/>
        <v>848849.9902</v>
      </c>
      <c r="Z43" s="52">
        <f t="shared" si="9"/>
        <v>11047906.0098</v>
      </c>
      <c r="AA43" s="50"/>
      <c r="AB43" s="53">
        <f t="shared" si="10"/>
        <v>234049.2</v>
      </c>
      <c r="AC43" s="53"/>
    </row>
    <row r="44" spans="1:29" s="38" customFormat="1" ht="19.5" customHeight="1">
      <c r="A44" s="39">
        <f>IF(B44="","",MAX($A43:A43)+1)</f>
        <v>36</v>
      </c>
      <c r="B44" s="40" t="s">
        <v>79</v>
      </c>
      <c r="C44" s="41" t="s">
        <v>43</v>
      </c>
      <c r="D44" s="42">
        <v>3.96</v>
      </c>
      <c r="E44" s="43"/>
      <c r="F44" s="44"/>
      <c r="G44" s="61">
        <f t="shared" si="11"/>
        <v>0</v>
      </c>
      <c r="H44" s="45">
        <v>0.21</v>
      </c>
      <c r="I44" s="46">
        <f t="shared" si="0"/>
        <v>0.8316</v>
      </c>
      <c r="J44" s="46"/>
      <c r="K44" s="46">
        <f>SUM(D44:E44,G44)*35%</f>
        <v>1.386</v>
      </c>
      <c r="L44" s="46"/>
      <c r="M44" s="43"/>
      <c r="N44" s="43"/>
      <c r="O44" s="48">
        <f t="shared" si="1"/>
        <v>6.1776</v>
      </c>
      <c r="P44" s="49">
        <f t="shared" si="2"/>
        <v>9204624</v>
      </c>
      <c r="Q44" s="50">
        <f t="shared" si="3"/>
        <v>1249409.7</v>
      </c>
      <c r="R44" s="50">
        <f t="shared" si="4"/>
        <v>571158.72</v>
      </c>
      <c r="S44" s="50">
        <f t="shared" si="5"/>
        <v>214184.52</v>
      </c>
      <c r="T44" s="50">
        <f t="shared" si="6"/>
        <v>107092.26</v>
      </c>
      <c r="U44" s="50">
        <f t="shared" si="12"/>
        <v>71394.84</v>
      </c>
      <c r="V44" s="50">
        <f t="shared" si="13"/>
        <v>71394.84</v>
      </c>
      <c r="W44" s="50">
        <f t="shared" si="7"/>
        <v>428369.04</v>
      </c>
      <c r="X44" s="50">
        <f t="shared" si="14"/>
        <v>84549.7818</v>
      </c>
      <c r="Y44" s="51">
        <f t="shared" si="8"/>
        <v>834195.6018</v>
      </c>
      <c r="Z44" s="52">
        <f t="shared" si="9"/>
        <v>8370428.3982</v>
      </c>
      <c r="AA44" s="50"/>
      <c r="AB44" s="53">
        <f t="shared" si="10"/>
        <v>237982.8</v>
      </c>
      <c r="AC44" s="53"/>
    </row>
    <row r="45" spans="1:29" s="38" customFormat="1" ht="19.5" customHeight="1">
      <c r="A45" s="39">
        <f>IF(B45="","",MAX($A44:A44)+1)</f>
        <v>37</v>
      </c>
      <c r="B45" s="40" t="s">
        <v>80</v>
      </c>
      <c r="C45" s="41" t="s">
        <v>43</v>
      </c>
      <c r="D45" s="42">
        <v>3.96</v>
      </c>
      <c r="E45" s="43"/>
      <c r="F45" s="44"/>
      <c r="G45" s="61">
        <f t="shared" si="11"/>
        <v>0</v>
      </c>
      <c r="H45" s="45">
        <v>0.21</v>
      </c>
      <c r="I45" s="46">
        <f t="shared" si="0"/>
        <v>0.8316</v>
      </c>
      <c r="J45" s="46">
        <f>(D45+E45+G45)*0.35</f>
        <v>1.386</v>
      </c>
      <c r="K45" s="46">
        <f>SUM(D45:E45,G45)*35%</f>
        <v>1.386</v>
      </c>
      <c r="L45" s="46">
        <f>SUM(D45:E45,G45)*70%</f>
        <v>2.772</v>
      </c>
      <c r="M45" s="43"/>
      <c r="N45" s="43"/>
      <c r="O45" s="48">
        <f t="shared" si="1"/>
        <v>10.3356</v>
      </c>
      <c r="P45" s="49">
        <f t="shared" si="2"/>
        <v>15400044</v>
      </c>
      <c r="Q45" s="50">
        <f t="shared" si="3"/>
        <v>1249409.7</v>
      </c>
      <c r="R45" s="50">
        <f t="shared" si="4"/>
        <v>571158.72</v>
      </c>
      <c r="S45" s="50">
        <f t="shared" si="5"/>
        <v>214184.52</v>
      </c>
      <c r="T45" s="50">
        <f t="shared" si="6"/>
        <v>107092.26</v>
      </c>
      <c r="U45" s="50">
        <f t="shared" si="12"/>
        <v>71394.84</v>
      </c>
      <c r="V45" s="50">
        <f t="shared" si="13"/>
        <v>71394.84</v>
      </c>
      <c r="W45" s="50">
        <f t="shared" si="7"/>
        <v>428369.04</v>
      </c>
      <c r="X45" s="50">
        <f t="shared" si="14"/>
        <v>146503.9818</v>
      </c>
      <c r="Y45" s="51">
        <f t="shared" si="8"/>
        <v>896149.8018</v>
      </c>
      <c r="Z45" s="52">
        <f t="shared" si="9"/>
        <v>14503894.1982</v>
      </c>
      <c r="AA45" s="50"/>
      <c r="AB45" s="53">
        <f t="shared" si="10"/>
        <v>237982.8</v>
      </c>
      <c r="AC45" s="53"/>
    </row>
    <row r="46" spans="1:29" s="38" customFormat="1" ht="19.5" customHeight="1">
      <c r="A46" s="39">
        <f>IF(B46="","",MAX($A45:A45)+1)</f>
        <v>38</v>
      </c>
      <c r="B46" s="65" t="s">
        <v>81</v>
      </c>
      <c r="C46" s="41" t="s">
        <v>41</v>
      </c>
      <c r="D46" s="60">
        <v>3.99</v>
      </c>
      <c r="E46" s="43"/>
      <c r="F46" s="44"/>
      <c r="G46" s="61">
        <f t="shared" si="11"/>
        <v>0</v>
      </c>
      <c r="H46" s="45">
        <v>0.16</v>
      </c>
      <c r="I46" s="46">
        <f t="shared" si="0"/>
        <v>0.6384000000000001</v>
      </c>
      <c r="J46" s="46"/>
      <c r="K46" s="46">
        <f>SUM(D46:E46,G46)*30%</f>
        <v>1.197</v>
      </c>
      <c r="L46" s="46"/>
      <c r="M46" s="43"/>
      <c r="N46" s="43"/>
      <c r="O46" s="48">
        <f t="shared" si="1"/>
        <v>5.8254</v>
      </c>
      <c r="P46" s="49">
        <f t="shared" si="2"/>
        <v>8679846</v>
      </c>
      <c r="Q46" s="50">
        <f t="shared" si="3"/>
        <v>1206855.2999999998</v>
      </c>
      <c r="R46" s="50">
        <f t="shared" si="4"/>
        <v>551705.28</v>
      </c>
      <c r="S46" s="50">
        <f t="shared" si="5"/>
        <v>206889.47999999998</v>
      </c>
      <c r="T46" s="50">
        <f t="shared" si="6"/>
        <v>103444.73999999999</v>
      </c>
      <c r="U46" s="50">
        <f t="shared" si="12"/>
        <v>68963.16</v>
      </c>
      <c r="V46" s="50">
        <f t="shared" si="13"/>
        <v>68963.16</v>
      </c>
      <c r="W46" s="50">
        <f t="shared" si="7"/>
        <v>413778.96</v>
      </c>
      <c r="X46" s="50">
        <f t="shared" si="14"/>
        <v>79557.3282</v>
      </c>
      <c r="Y46" s="51">
        <f t="shared" si="8"/>
        <v>803670.5082</v>
      </c>
      <c r="Z46" s="52">
        <f t="shared" si="9"/>
        <v>7876175.4918</v>
      </c>
      <c r="AA46" s="50"/>
      <c r="AB46" s="53">
        <f t="shared" si="10"/>
        <v>229877.2</v>
      </c>
      <c r="AC46" s="53"/>
    </row>
    <row r="47" spans="1:29" s="38" customFormat="1" ht="19.5" customHeight="1">
      <c r="A47" s="39">
        <f>IF(B47="","",MAX($A46:A46)+1)</f>
        <v>39</v>
      </c>
      <c r="B47" s="40" t="s">
        <v>82</v>
      </c>
      <c r="C47" s="41" t="s">
        <v>83</v>
      </c>
      <c r="D47" s="42">
        <v>3.96</v>
      </c>
      <c r="E47" s="43"/>
      <c r="F47" s="44"/>
      <c r="G47" s="61">
        <f t="shared" si="11"/>
        <v>0</v>
      </c>
      <c r="H47" s="45">
        <v>0.21</v>
      </c>
      <c r="I47" s="46">
        <f t="shared" si="0"/>
        <v>0.8316</v>
      </c>
      <c r="J47" s="46"/>
      <c r="K47" s="46">
        <f>SUM(D47:E47,G47)*35%</f>
        <v>1.386</v>
      </c>
      <c r="L47" s="46"/>
      <c r="M47" s="43"/>
      <c r="N47" s="43"/>
      <c r="O47" s="48">
        <f t="shared" si="1"/>
        <v>6.1776</v>
      </c>
      <c r="P47" s="49">
        <f t="shared" si="2"/>
        <v>9204624</v>
      </c>
      <c r="Q47" s="50">
        <f t="shared" si="3"/>
        <v>1249409.7</v>
      </c>
      <c r="R47" s="50">
        <f t="shared" si="4"/>
        <v>571158.72</v>
      </c>
      <c r="S47" s="50">
        <f t="shared" si="5"/>
        <v>214184.52</v>
      </c>
      <c r="T47" s="50">
        <f t="shared" si="6"/>
        <v>107092.26</v>
      </c>
      <c r="U47" s="50">
        <f t="shared" si="12"/>
        <v>71394.84</v>
      </c>
      <c r="V47" s="50">
        <f t="shared" si="13"/>
        <v>71394.84</v>
      </c>
      <c r="W47" s="50">
        <f t="shared" si="7"/>
        <v>428369.04</v>
      </c>
      <c r="X47" s="50">
        <f t="shared" si="14"/>
        <v>84549.7818</v>
      </c>
      <c r="Y47" s="51">
        <f t="shared" si="8"/>
        <v>834195.6018</v>
      </c>
      <c r="Z47" s="52">
        <f t="shared" si="9"/>
        <v>8370428.3982</v>
      </c>
      <c r="AA47" s="50"/>
      <c r="AB47" s="53">
        <f t="shared" si="10"/>
        <v>237982.8</v>
      </c>
      <c r="AC47" s="53"/>
    </row>
    <row r="48" spans="1:29" s="38" customFormat="1" ht="19.5" customHeight="1">
      <c r="A48" s="39">
        <f>IF(B48="","",MAX($A47:A47)+1)</f>
        <v>40</v>
      </c>
      <c r="B48" s="40" t="s">
        <v>84</v>
      </c>
      <c r="C48" s="41" t="s">
        <v>83</v>
      </c>
      <c r="D48" s="42">
        <v>3.96</v>
      </c>
      <c r="E48" s="43"/>
      <c r="F48" s="44"/>
      <c r="G48" s="61">
        <f t="shared" si="11"/>
        <v>0</v>
      </c>
      <c r="H48" s="45">
        <v>0.21</v>
      </c>
      <c r="I48" s="46">
        <f t="shared" si="0"/>
        <v>0.8316</v>
      </c>
      <c r="J48" s="46">
        <f>(D48+E48+G48)*0.35</f>
        <v>1.386</v>
      </c>
      <c r="K48" s="46">
        <f>SUM(D48:E48,G48)*35%</f>
        <v>1.386</v>
      </c>
      <c r="L48" s="46">
        <v>0.5</v>
      </c>
      <c r="M48" s="43"/>
      <c r="N48" s="43"/>
      <c r="O48" s="48">
        <f t="shared" si="1"/>
        <v>8.063600000000001</v>
      </c>
      <c r="P48" s="49">
        <f t="shared" si="2"/>
        <v>12014764.000000002</v>
      </c>
      <c r="Q48" s="50">
        <f t="shared" si="3"/>
        <v>1249409.7</v>
      </c>
      <c r="R48" s="50">
        <f t="shared" si="4"/>
        <v>571158.72</v>
      </c>
      <c r="S48" s="50">
        <f t="shared" si="5"/>
        <v>214184.52</v>
      </c>
      <c r="T48" s="50">
        <f t="shared" si="6"/>
        <v>107092.26</v>
      </c>
      <c r="U48" s="50">
        <f t="shared" si="12"/>
        <v>71394.84</v>
      </c>
      <c r="V48" s="50">
        <f t="shared" si="13"/>
        <v>71394.84</v>
      </c>
      <c r="W48" s="50">
        <f t="shared" si="7"/>
        <v>428369.04</v>
      </c>
      <c r="X48" s="50">
        <f t="shared" si="14"/>
        <v>112651.18180000002</v>
      </c>
      <c r="Y48" s="51">
        <f t="shared" si="8"/>
        <v>862297.0018</v>
      </c>
      <c r="Z48" s="52">
        <f t="shared" si="9"/>
        <v>11152466.998200001</v>
      </c>
      <c r="AA48" s="50"/>
      <c r="AB48" s="53">
        <f t="shared" si="10"/>
        <v>237982.8</v>
      </c>
      <c r="AC48" s="53"/>
    </row>
    <row r="49" spans="1:29" s="38" customFormat="1" ht="19.5" customHeight="1">
      <c r="A49" s="39">
        <f>IF(B49="","",MAX($A48:A48)+1)</f>
        <v>41</v>
      </c>
      <c r="B49" s="67" t="s">
        <v>85</v>
      </c>
      <c r="C49" s="41" t="s">
        <v>43</v>
      </c>
      <c r="D49" s="42">
        <v>3.65</v>
      </c>
      <c r="E49" s="43"/>
      <c r="F49" s="44"/>
      <c r="G49" s="61">
        <f t="shared" si="11"/>
        <v>0</v>
      </c>
      <c r="H49" s="45">
        <v>0.17</v>
      </c>
      <c r="I49" s="46">
        <f t="shared" si="0"/>
        <v>0.6205</v>
      </c>
      <c r="J49" s="46"/>
      <c r="K49" s="46">
        <f>SUM(D49:E49,G49)*35%</f>
        <v>1.2774999999999999</v>
      </c>
      <c r="L49" s="46"/>
      <c r="M49" s="43"/>
      <c r="N49" s="43"/>
      <c r="O49" s="48">
        <f t="shared" si="1"/>
        <v>5.548</v>
      </c>
      <c r="P49" s="49">
        <f t="shared" si="2"/>
        <v>8266520</v>
      </c>
      <c r="Q49" s="50">
        <f t="shared" si="3"/>
        <v>1113532.875</v>
      </c>
      <c r="R49" s="50">
        <f t="shared" si="4"/>
        <v>509043.60000000003</v>
      </c>
      <c r="S49" s="50">
        <f t="shared" si="5"/>
        <v>190891.35</v>
      </c>
      <c r="T49" s="50">
        <f t="shared" si="6"/>
        <v>95445.675</v>
      </c>
      <c r="U49" s="50">
        <f t="shared" si="12"/>
        <v>63630.450000000004</v>
      </c>
      <c r="V49" s="50">
        <f t="shared" si="13"/>
        <v>63630.450000000004</v>
      </c>
      <c r="W49" s="50">
        <f t="shared" si="7"/>
        <v>381782.7</v>
      </c>
      <c r="X49" s="50">
        <f t="shared" si="14"/>
        <v>75984.00275</v>
      </c>
      <c r="Y49" s="51">
        <f t="shared" si="8"/>
        <v>744103.72775</v>
      </c>
      <c r="Z49" s="52">
        <f t="shared" si="9"/>
        <v>7522416.27225</v>
      </c>
      <c r="AA49" s="50"/>
      <c r="AB49" s="53">
        <f t="shared" si="10"/>
        <v>212101.5</v>
      </c>
      <c r="AC49" s="53"/>
    </row>
    <row r="50" spans="1:29" s="38" customFormat="1" ht="19.5" customHeight="1">
      <c r="A50" s="39">
        <f>IF(B50="","",MAX($A49:A49)+1)</f>
        <v>42</v>
      </c>
      <c r="B50" s="67" t="s">
        <v>86</v>
      </c>
      <c r="C50" s="41" t="s">
        <v>60</v>
      </c>
      <c r="D50" s="42">
        <v>3.66</v>
      </c>
      <c r="E50" s="43"/>
      <c r="F50" s="44"/>
      <c r="G50" s="61">
        <f t="shared" si="11"/>
        <v>0</v>
      </c>
      <c r="H50" s="45">
        <v>0.17</v>
      </c>
      <c r="I50" s="46">
        <f t="shared" si="0"/>
        <v>0.6222000000000001</v>
      </c>
      <c r="J50" s="46"/>
      <c r="K50" s="46">
        <f>SUM(D50:E50,G50)*30%</f>
        <v>1.098</v>
      </c>
      <c r="L50" s="46"/>
      <c r="M50" s="43"/>
      <c r="N50" s="43"/>
      <c r="O50" s="48">
        <f t="shared" si="1"/>
        <v>5.3802</v>
      </c>
      <c r="P50" s="49">
        <f t="shared" si="2"/>
        <v>8016498.000000001</v>
      </c>
      <c r="Q50" s="50">
        <f t="shared" si="3"/>
        <v>1116583.6500000001</v>
      </c>
      <c r="R50" s="50">
        <f t="shared" si="4"/>
        <v>510438.2400000001</v>
      </c>
      <c r="S50" s="50">
        <f t="shared" si="5"/>
        <v>191414.34000000003</v>
      </c>
      <c r="T50" s="50">
        <f t="shared" si="6"/>
        <v>95707.17000000001</v>
      </c>
      <c r="U50" s="50">
        <f t="shared" si="12"/>
        <v>63804.78000000001</v>
      </c>
      <c r="V50" s="50">
        <f t="shared" si="13"/>
        <v>63804.78000000001</v>
      </c>
      <c r="W50" s="50">
        <f t="shared" si="7"/>
        <v>382828.68000000005</v>
      </c>
      <c r="X50" s="50">
        <f t="shared" si="14"/>
        <v>73465.47810000001</v>
      </c>
      <c r="Y50" s="51">
        <f t="shared" si="8"/>
        <v>743415.6681000001</v>
      </c>
      <c r="Z50" s="52">
        <f>P50-Y50+1</f>
        <v>7273083.331900001</v>
      </c>
      <c r="AA50" s="50"/>
      <c r="AB50" s="53">
        <f t="shared" si="10"/>
        <v>212682.60000000003</v>
      </c>
      <c r="AC50" s="53"/>
    </row>
    <row r="51" spans="1:29" s="38" customFormat="1" ht="19.5" customHeight="1">
      <c r="A51" s="39">
        <f>IF(B51="","",MAX($A50:A50)+1)</f>
        <v>43</v>
      </c>
      <c r="B51" s="62" t="s">
        <v>87</v>
      </c>
      <c r="C51" s="41" t="s">
        <v>47</v>
      </c>
      <c r="D51" s="63">
        <v>3.03</v>
      </c>
      <c r="E51" s="43"/>
      <c r="F51" s="44"/>
      <c r="G51" s="61">
        <f t="shared" si="11"/>
        <v>0</v>
      </c>
      <c r="H51" s="45">
        <v>0.1</v>
      </c>
      <c r="I51" s="46">
        <f t="shared" si="0"/>
        <v>0.303</v>
      </c>
      <c r="J51" s="46"/>
      <c r="K51" s="46">
        <f>SUM(D51:E51,G51)*30%</f>
        <v>0.9089999999999999</v>
      </c>
      <c r="L51" s="46"/>
      <c r="M51" s="43"/>
      <c r="N51" s="43"/>
      <c r="O51" s="48">
        <f t="shared" si="1"/>
        <v>4.242</v>
      </c>
      <c r="P51" s="49">
        <f t="shared" si="2"/>
        <v>6320580</v>
      </c>
      <c r="Q51" s="50">
        <f t="shared" si="3"/>
        <v>869079.75</v>
      </c>
      <c r="R51" s="50">
        <f t="shared" si="4"/>
        <v>397293.60000000003</v>
      </c>
      <c r="S51" s="50">
        <f t="shared" si="5"/>
        <v>148985.1</v>
      </c>
      <c r="T51" s="50">
        <f t="shared" si="6"/>
        <v>74492.55</v>
      </c>
      <c r="U51" s="50">
        <f t="shared" si="12"/>
        <v>49661.700000000004</v>
      </c>
      <c r="V51" s="50">
        <f t="shared" si="13"/>
        <v>49661.700000000004</v>
      </c>
      <c r="W51" s="50">
        <f t="shared" si="7"/>
        <v>297970.2</v>
      </c>
      <c r="X51" s="50">
        <f t="shared" si="14"/>
        <v>57991.321500000005</v>
      </c>
      <c r="Y51" s="51">
        <f t="shared" si="8"/>
        <v>579439.1715</v>
      </c>
      <c r="Z51" s="52">
        <f t="shared" si="9"/>
        <v>5741140.8285</v>
      </c>
      <c r="AA51" s="50"/>
      <c r="AB51" s="53">
        <f t="shared" si="10"/>
        <v>165539</v>
      </c>
      <c r="AC51" s="53"/>
    </row>
    <row r="52" spans="1:29" s="38" customFormat="1" ht="19.5" customHeight="1">
      <c r="A52" s="39">
        <f>IF(B52="","",MAX($A51:A51)+1)</f>
        <v>44</v>
      </c>
      <c r="B52" s="62" t="s">
        <v>88</v>
      </c>
      <c r="C52" s="41" t="s">
        <v>43</v>
      </c>
      <c r="D52" s="60">
        <v>3.34</v>
      </c>
      <c r="E52" s="43"/>
      <c r="F52" s="44"/>
      <c r="G52" s="61">
        <f t="shared" si="11"/>
        <v>0</v>
      </c>
      <c r="H52" s="45">
        <v>0.13</v>
      </c>
      <c r="I52" s="46">
        <f t="shared" si="0"/>
        <v>0.4342</v>
      </c>
      <c r="J52" s="46">
        <f>K52</f>
        <v>1.1689999999999998</v>
      </c>
      <c r="K52" s="46">
        <f>SUM(D52:E52,G52)*35%</f>
        <v>1.1689999999999998</v>
      </c>
      <c r="L52" s="46">
        <f>K52+J52</f>
        <v>2.3379999999999996</v>
      </c>
      <c r="M52" s="43"/>
      <c r="N52" s="43"/>
      <c r="O52" s="48">
        <f>SUM(D52:E52,G52,I52:N52)-D52</f>
        <v>5.110199999999999</v>
      </c>
      <c r="P52" s="49">
        <f t="shared" si="2"/>
        <v>7614197.999999998</v>
      </c>
      <c r="Q52" s="50">
        <f t="shared" si="3"/>
        <v>984122.6499999999</v>
      </c>
      <c r="R52" s="50">
        <f t="shared" si="4"/>
        <v>449884.64</v>
      </c>
      <c r="S52" s="50">
        <f t="shared" si="5"/>
        <v>168706.74</v>
      </c>
      <c r="T52" s="50">
        <f t="shared" si="6"/>
        <v>84353.37</v>
      </c>
      <c r="U52" s="50">
        <f>SUM(D52:E52,G52,I52)*1490000*1%</f>
        <v>56235.58</v>
      </c>
      <c r="V52" s="50">
        <f>SUM(D52:E52,G52,I52)*1490000*1%</f>
        <v>56235.58</v>
      </c>
      <c r="W52" s="50">
        <f>SUM(D52:E52,G52,I52)*1490000*2%*3</f>
        <v>337413.48</v>
      </c>
      <c r="X52" s="50">
        <f t="shared" si="14"/>
        <v>70237.24409999998</v>
      </c>
      <c r="Y52" s="51">
        <f t="shared" si="8"/>
        <v>660710.8341</v>
      </c>
      <c r="Z52" s="52">
        <f t="shared" si="9"/>
        <v>6953487.1658999985</v>
      </c>
      <c r="AA52" s="50"/>
      <c r="AB52" s="53">
        <f t="shared" si="10"/>
        <v>187451.93333333332</v>
      </c>
      <c r="AC52" s="53"/>
    </row>
    <row r="53" spans="1:29" s="38" customFormat="1" ht="19.5" customHeight="1">
      <c r="A53" s="39">
        <f>IF(B53="","",MAX($A52:A52)+1)</f>
        <v>45</v>
      </c>
      <c r="B53" s="40" t="s">
        <v>89</v>
      </c>
      <c r="C53" s="41" t="s">
        <v>45</v>
      </c>
      <c r="D53" s="42">
        <v>3.03</v>
      </c>
      <c r="E53" s="43"/>
      <c r="F53" s="44"/>
      <c r="G53" s="61">
        <f t="shared" si="11"/>
        <v>0</v>
      </c>
      <c r="H53" s="45">
        <v>0.2</v>
      </c>
      <c r="I53" s="46">
        <f t="shared" si="0"/>
        <v>0.606</v>
      </c>
      <c r="J53" s="46">
        <f>(D53+E53+G53)*0.35</f>
        <v>1.0604999999999998</v>
      </c>
      <c r="K53" s="46">
        <f>SUM(D53:E53,G53)*35%</f>
        <v>1.0604999999999998</v>
      </c>
      <c r="L53" s="58">
        <v>0.5</v>
      </c>
      <c r="M53" s="43"/>
      <c r="N53" s="43"/>
      <c r="O53" s="48">
        <f t="shared" si="1"/>
        <v>6.257</v>
      </c>
      <c r="P53" s="49">
        <f t="shared" si="2"/>
        <v>9322930</v>
      </c>
      <c r="Q53" s="50">
        <f t="shared" si="3"/>
        <v>948086.9999999998</v>
      </c>
      <c r="R53" s="50">
        <f t="shared" si="4"/>
        <v>433411.19999999995</v>
      </c>
      <c r="S53" s="50">
        <f t="shared" si="5"/>
        <v>162529.19999999995</v>
      </c>
      <c r="T53" s="50">
        <f t="shared" si="6"/>
        <v>81264.59999999998</v>
      </c>
      <c r="U53" s="50">
        <f t="shared" si="12"/>
        <v>54176.399999999994</v>
      </c>
      <c r="V53" s="50">
        <f t="shared" si="13"/>
        <v>54176.399999999994</v>
      </c>
      <c r="W53" s="50">
        <f t="shared" si="7"/>
        <v>325058.39999999997</v>
      </c>
      <c r="X53" s="50">
        <f t="shared" si="14"/>
        <v>87540.778</v>
      </c>
      <c r="Y53" s="51">
        <f t="shared" si="8"/>
        <v>656392.978</v>
      </c>
      <c r="Z53" s="52">
        <f t="shared" si="9"/>
        <v>8666537.022</v>
      </c>
      <c r="AA53" s="50"/>
      <c r="AB53" s="53">
        <f t="shared" si="10"/>
        <v>180587.99999999997</v>
      </c>
      <c r="AC53" s="53"/>
    </row>
    <row r="54" spans="1:29" s="38" customFormat="1" ht="19.5" customHeight="1">
      <c r="A54" s="39">
        <f>IF(B54="","",MAX($A53:A53)+1)</f>
        <v>46</v>
      </c>
      <c r="B54" s="65" t="s">
        <v>90</v>
      </c>
      <c r="C54" s="41" t="s">
        <v>47</v>
      </c>
      <c r="D54" s="68">
        <v>3.34</v>
      </c>
      <c r="E54" s="43"/>
      <c r="F54" s="44"/>
      <c r="G54" s="61">
        <f t="shared" si="11"/>
        <v>0</v>
      </c>
      <c r="H54" s="45">
        <v>0.12</v>
      </c>
      <c r="I54" s="46">
        <f t="shared" si="0"/>
        <v>0.4008</v>
      </c>
      <c r="J54" s="46"/>
      <c r="K54" s="46">
        <f>SUM(D54:E54,G54)*30%</f>
        <v>1.002</v>
      </c>
      <c r="L54" s="46"/>
      <c r="M54" s="43"/>
      <c r="N54" s="43"/>
      <c r="O54" s="48">
        <f t="shared" si="1"/>
        <v>4.7428</v>
      </c>
      <c r="P54" s="49">
        <f t="shared" si="2"/>
        <v>7066772</v>
      </c>
      <c r="Q54" s="50">
        <f t="shared" si="3"/>
        <v>975413.5999999997</v>
      </c>
      <c r="R54" s="50">
        <f t="shared" si="4"/>
        <v>445903.3599999999</v>
      </c>
      <c r="S54" s="50">
        <f t="shared" si="5"/>
        <v>167213.75999999998</v>
      </c>
      <c r="T54" s="50">
        <f t="shared" si="6"/>
        <v>83606.87999999999</v>
      </c>
      <c r="U54" s="50">
        <f t="shared" si="12"/>
        <v>55737.91999999999</v>
      </c>
      <c r="V54" s="50">
        <f t="shared" si="13"/>
        <v>55737.91999999999</v>
      </c>
      <c r="W54" s="50">
        <f t="shared" si="7"/>
        <v>334427.51999999996</v>
      </c>
      <c r="X54" s="50">
        <f t="shared" si="14"/>
        <v>64815.2384</v>
      </c>
      <c r="Y54" s="51">
        <f t="shared" si="8"/>
        <v>650063.3984</v>
      </c>
      <c r="Z54" s="52">
        <f t="shared" si="9"/>
        <v>6416708.6016</v>
      </c>
      <c r="AA54" s="50"/>
      <c r="AB54" s="53">
        <f t="shared" si="10"/>
        <v>185793.06666666662</v>
      </c>
      <c r="AC54" s="53"/>
    </row>
    <row r="55" spans="1:29" s="38" customFormat="1" ht="19.5" customHeight="1">
      <c r="A55" s="39">
        <f>IF(B55="","",MAX($A54:A54)+1)</f>
        <v>47</v>
      </c>
      <c r="B55" s="40" t="s">
        <v>91</v>
      </c>
      <c r="C55" s="41" t="s">
        <v>47</v>
      </c>
      <c r="D55" s="42">
        <v>3.03</v>
      </c>
      <c r="E55" s="43"/>
      <c r="F55" s="44"/>
      <c r="G55" s="61">
        <f t="shared" si="11"/>
        <v>0</v>
      </c>
      <c r="H55" s="45">
        <v>0.08</v>
      </c>
      <c r="I55" s="46">
        <f t="shared" si="0"/>
        <v>0.24239999999999998</v>
      </c>
      <c r="J55" s="46"/>
      <c r="K55" s="46">
        <f>SUM(D55:E55,G55)*30%</f>
        <v>0.9089999999999999</v>
      </c>
      <c r="L55" s="46"/>
      <c r="M55" s="43"/>
      <c r="N55" s="43"/>
      <c r="O55" s="48">
        <f t="shared" si="1"/>
        <v>4.1814</v>
      </c>
      <c r="P55" s="49">
        <f t="shared" si="2"/>
        <v>6230286</v>
      </c>
      <c r="Q55" s="50">
        <f t="shared" si="3"/>
        <v>853278.2999999999</v>
      </c>
      <c r="R55" s="50">
        <f t="shared" si="4"/>
        <v>390070.08</v>
      </c>
      <c r="S55" s="50">
        <f t="shared" si="5"/>
        <v>146276.28</v>
      </c>
      <c r="T55" s="50">
        <f t="shared" si="6"/>
        <v>73138.14</v>
      </c>
      <c r="U55" s="50">
        <f t="shared" si="12"/>
        <v>48758.76</v>
      </c>
      <c r="V55" s="50">
        <f t="shared" si="13"/>
        <v>48758.76</v>
      </c>
      <c r="W55" s="50">
        <f t="shared" si="7"/>
        <v>292552.56</v>
      </c>
      <c r="X55" s="50">
        <f t="shared" si="14"/>
        <v>57183.1902</v>
      </c>
      <c r="Y55" s="51">
        <f t="shared" si="8"/>
        <v>569150.1702</v>
      </c>
      <c r="Z55" s="52">
        <f t="shared" si="9"/>
        <v>5661135.8298</v>
      </c>
      <c r="AA55" s="50"/>
      <c r="AB55" s="53">
        <f t="shared" si="10"/>
        <v>162529.2</v>
      </c>
      <c r="AC55" s="53"/>
    </row>
    <row r="56" spans="1:29" s="38" customFormat="1" ht="19.5" customHeight="1">
      <c r="A56" s="39">
        <f>IF(B56="","",MAX($A55:A55)+1)</f>
        <v>48</v>
      </c>
      <c r="B56" s="40" t="s">
        <v>92</v>
      </c>
      <c r="C56" s="41" t="s">
        <v>47</v>
      </c>
      <c r="D56" s="42">
        <v>3.03</v>
      </c>
      <c r="E56" s="43"/>
      <c r="F56" s="44"/>
      <c r="G56" s="61">
        <f t="shared" si="11"/>
        <v>0</v>
      </c>
      <c r="H56" s="45">
        <v>0.08</v>
      </c>
      <c r="I56" s="46">
        <f t="shared" si="0"/>
        <v>0.24239999999999998</v>
      </c>
      <c r="J56" s="46"/>
      <c r="K56" s="46">
        <f>SUM(D56:E56,G56)*30%</f>
        <v>0.9089999999999999</v>
      </c>
      <c r="L56" s="46"/>
      <c r="M56" s="43"/>
      <c r="N56" s="43"/>
      <c r="O56" s="48">
        <f t="shared" si="1"/>
        <v>4.1814</v>
      </c>
      <c r="P56" s="49">
        <f t="shared" si="2"/>
        <v>6230286</v>
      </c>
      <c r="Q56" s="50">
        <f t="shared" si="3"/>
        <v>853278.2999999999</v>
      </c>
      <c r="R56" s="50">
        <f t="shared" si="4"/>
        <v>390070.08</v>
      </c>
      <c r="S56" s="50">
        <f t="shared" si="5"/>
        <v>146276.28</v>
      </c>
      <c r="T56" s="50">
        <f t="shared" si="6"/>
        <v>73138.14</v>
      </c>
      <c r="U56" s="50">
        <f t="shared" si="12"/>
        <v>48758.76</v>
      </c>
      <c r="V56" s="50">
        <f t="shared" si="13"/>
        <v>48758.76</v>
      </c>
      <c r="W56" s="50">
        <f t="shared" si="7"/>
        <v>292552.56</v>
      </c>
      <c r="X56" s="50">
        <f t="shared" si="14"/>
        <v>57183.1902</v>
      </c>
      <c r="Y56" s="51">
        <f t="shared" si="8"/>
        <v>569150.1702</v>
      </c>
      <c r="Z56" s="52">
        <f t="shared" si="9"/>
        <v>5661135.8298</v>
      </c>
      <c r="AA56" s="50"/>
      <c r="AB56" s="53">
        <f t="shared" si="10"/>
        <v>162529.2</v>
      </c>
      <c r="AC56" s="53"/>
    </row>
    <row r="57" spans="1:29" s="38" customFormat="1" ht="19.5" customHeight="1">
      <c r="A57" s="39">
        <f>IF(B57="","",MAX($A56:A56)+1)</f>
        <v>49</v>
      </c>
      <c r="B57" s="62" t="s">
        <v>93</v>
      </c>
      <c r="C57" s="41" t="s">
        <v>43</v>
      </c>
      <c r="D57" s="42">
        <v>2.72</v>
      </c>
      <c r="E57" s="43"/>
      <c r="F57" s="44"/>
      <c r="G57" s="61">
        <f t="shared" si="11"/>
        <v>0</v>
      </c>
      <c r="H57" s="45">
        <v>0.06</v>
      </c>
      <c r="I57" s="46">
        <f t="shared" si="0"/>
        <v>0.1632</v>
      </c>
      <c r="J57" s="46">
        <f>(D57+E57+G57)*0.35</f>
        <v>0.952</v>
      </c>
      <c r="K57" s="46">
        <f>SUM(D57:E57,G57)*35%</f>
        <v>0.952</v>
      </c>
      <c r="L57" s="46">
        <f>SUM(D57:E57,G57)*70%</f>
        <v>1.904</v>
      </c>
      <c r="M57" s="43"/>
      <c r="N57" s="43"/>
      <c r="O57" s="48">
        <f t="shared" si="1"/>
        <v>6.6912</v>
      </c>
      <c r="P57" s="49">
        <f t="shared" si="2"/>
        <v>9969888</v>
      </c>
      <c r="Q57" s="50">
        <f t="shared" si="3"/>
        <v>751794.4000000001</v>
      </c>
      <c r="R57" s="50">
        <f t="shared" si="4"/>
        <v>343677.44000000006</v>
      </c>
      <c r="S57" s="50">
        <f t="shared" si="5"/>
        <v>128879.04000000002</v>
      </c>
      <c r="T57" s="50">
        <f t="shared" si="6"/>
        <v>64439.52000000001</v>
      </c>
      <c r="U57" s="50">
        <f t="shared" si="12"/>
        <v>42959.68000000001</v>
      </c>
      <c r="V57" s="50">
        <f t="shared" si="13"/>
        <v>42959.68000000001</v>
      </c>
      <c r="W57" s="50">
        <f t="shared" si="7"/>
        <v>257758.08000000005</v>
      </c>
      <c r="X57" s="50">
        <f t="shared" si="14"/>
        <v>95188.1136</v>
      </c>
      <c r="Y57" s="51">
        <f t="shared" si="8"/>
        <v>546264.7536</v>
      </c>
      <c r="Z57" s="52">
        <f t="shared" si="9"/>
        <v>9423623.2464</v>
      </c>
      <c r="AA57" s="50"/>
      <c r="AB57" s="53">
        <f t="shared" si="10"/>
        <v>143198.93333333338</v>
      </c>
      <c r="AC57" s="53"/>
    </row>
    <row r="58" spans="1:29" s="38" customFormat="1" ht="19.5" customHeight="1">
      <c r="A58" s="39">
        <f>IF(B58="","",MAX($A57:A57)+1)</f>
        <v>50</v>
      </c>
      <c r="B58" s="57" t="s">
        <v>94</v>
      </c>
      <c r="C58" s="41" t="s">
        <v>43</v>
      </c>
      <c r="D58" s="69">
        <v>2.41</v>
      </c>
      <c r="E58" s="43"/>
      <c r="F58" s="44"/>
      <c r="G58" s="61">
        <f t="shared" si="11"/>
        <v>0</v>
      </c>
      <c r="H58" s="45"/>
      <c r="I58" s="46">
        <f t="shared" si="0"/>
        <v>0</v>
      </c>
      <c r="J58" s="46">
        <f>(D58+E58+G58)*0.35</f>
        <v>0.8435</v>
      </c>
      <c r="K58" s="46">
        <f>SUM(D58:E58,G58)*35%</f>
        <v>0.8435</v>
      </c>
      <c r="L58" s="46">
        <f>SUM(D58:E58,G58)*70%</f>
        <v>1.687</v>
      </c>
      <c r="M58" s="43"/>
      <c r="N58" s="43"/>
      <c r="O58" s="48">
        <f t="shared" si="1"/>
        <v>5.784000000000001</v>
      </c>
      <c r="P58" s="49">
        <f t="shared" si="2"/>
        <v>8618160.000000002</v>
      </c>
      <c r="Q58" s="50">
        <f t="shared" si="3"/>
        <v>628407.5</v>
      </c>
      <c r="R58" s="50">
        <f t="shared" si="4"/>
        <v>287272</v>
      </c>
      <c r="S58" s="50">
        <f t="shared" si="5"/>
        <v>107727</v>
      </c>
      <c r="T58" s="50">
        <f t="shared" si="6"/>
        <v>53863.5</v>
      </c>
      <c r="U58" s="50">
        <f t="shared" si="12"/>
        <v>35909</v>
      </c>
      <c r="V58" s="50">
        <f t="shared" si="13"/>
        <v>35909</v>
      </c>
      <c r="W58" s="50">
        <f t="shared" si="7"/>
        <v>215454</v>
      </c>
      <c r="X58" s="50">
        <f t="shared" si="14"/>
        <v>82411.15500000001</v>
      </c>
      <c r="Y58" s="51">
        <f t="shared" si="8"/>
        <v>459455.655</v>
      </c>
      <c r="Z58" s="52">
        <f t="shared" si="9"/>
        <v>8158704.345000002</v>
      </c>
      <c r="AA58" s="50"/>
      <c r="AB58" s="53">
        <f t="shared" si="10"/>
        <v>119696.66666666667</v>
      </c>
      <c r="AC58" s="53"/>
    </row>
    <row r="59" spans="1:29" s="38" customFormat="1" ht="19.5" customHeight="1">
      <c r="A59" s="39">
        <f>IF(B59="","",MAX($A58:A58)+1)</f>
        <v>51</v>
      </c>
      <c r="B59" s="57" t="s">
        <v>95</v>
      </c>
      <c r="C59" s="41" t="s">
        <v>43</v>
      </c>
      <c r="D59" s="69">
        <v>2.41</v>
      </c>
      <c r="E59" s="43"/>
      <c r="F59" s="44"/>
      <c r="G59" s="61">
        <f t="shared" si="11"/>
        <v>0</v>
      </c>
      <c r="H59" s="45"/>
      <c r="I59" s="46">
        <f t="shared" si="0"/>
        <v>0</v>
      </c>
      <c r="J59" s="46">
        <f>(D59+E59+G59)*0.35</f>
        <v>0.8435</v>
      </c>
      <c r="K59" s="46">
        <f>SUM(D59:E59,G59)*35%</f>
        <v>0.8435</v>
      </c>
      <c r="L59" s="46">
        <f>SUM(D59:E59,G59)*70%</f>
        <v>1.687</v>
      </c>
      <c r="M59" s="43"/>
      <c r="N59" s="43"/>
      <c r="O59" s="48">
        <f t="shared" si="1"/>
        <v>5.784000000000001</v>
      </c>
      <c r="P59" s="49">
        <f t="shared" si="2"/>
        <v>8618160.000000002</v>
      </c>
      <c r="Q59" s="50">
        <f t="shared" si="3"/>
        <v>628407.5</v>
      </c>
      <c r="R59" s="50">
        <f t="shared" si="4"/>
        <v>287272</v>
      </c>
      <c r="S59" s="50">
        <f t="shared" si="5"/>
        <v>107727</v>
      </c>
      <c r="T59" s="50">
        <f t="shared" si="6"/>
        <v>53863.5</v>
      </c>
      <c r="U59" s="50">
        <f t="shared" si="12"/>
        <v>35909</v>
      </c>
      <c r="V59" s="50">
        <f t="shared" si="13"/>
        <v>35909</v>
      </c>
      <c r="W59" s="50">
        <f t="shared" si="7"/>
        <v>215454</v>
      </c>
      <c r="X59" s="50">
        <f t="shared" si="14"/>
        <v>82411.15500000001</v>
      </c>
      <c r="Y59" s="51">
        <f t="shared" si="8"/>
        <v>459455.655</v>
      </c>
      <c r="Z59" s="52">
        <f t="shared" si="9"/>
        <v>8158704.345000002</v>
      </c>
      <c r="AA59" s="50"/>
      <c r="AB59" s="53">
        <f t="shared" si="10"/>
        <v>119696.66666666667</v>
      </c>
      <c r="AC59" s="53"/>
    </row>
    <row r="60" spans="1:29" s="38" customFormat="1" ht="19.5" customHeight="1">
      <c r="A60" s="39">
        <f>IF(B60="","",MAX($A59:A59)+1)</f>
        <v>52</v>
      </c>
      <c r="B60" s="57" t="s">
        <v>96</v>
      </c>
      <c r="C60" s="41" t="s">
        <v>47</v>
      </c>
      <c r="D60" s="69">
        <v>2.1</v>
      </c>
      <c r="E60" s="43"/>
      <c r="F60" s="44"/>
      <c r="G60" s="61">
        <f t="shared" si="11"/>
        <v>0</v>
      </c>
      <c r="H60" s="45"/>
      <c r="I60" s="46">
        <f t="shared" si="0"/>
        <v>0</v>
      </c>
      <c r="J60" s="46">
        <f>(D60+E60+G60)*0.35</f>
        <v>0.735</v>
      </c>
      <c r="K60" s="46">
        <f>SUM(D60:E60,G60)*35%</f>
        <v>0.735</v>
      </c>
      <c r="L60" s="46">
        <f>SUM(D60:E60,G60)*70%</f>
        <v>1.47</v>
      </c>
      <c r="M60" s="43"/>
      <c r="N60" s="43"/>
      <c r="O60" s="48">
        <f t="shared" si="1"/>
        <v>5.04</v>
      </c>
      <c r="P60" s="49">
        <f t="shared" si="2"/>
        <v>7509600</v>
      </c>
      <c r="Q60" s="50">
        <f t="shared" si="3"/>
        <v>547575</v>
      </c>
      <c r="R60" s="50">
        <f t="shared" si="4"/>
        <v>250320</v>
      </c>
      <c r="S60" s="50">
        <f t="shared" si="5"/>
        <v>93870</v>
      </c>
      <c r="T60" s="50">
        <f t="shared" si="6"/>
        <v>46935</v>
      </c>
      <c r="U60" s="50">
        <f t="shared" si="12"/>
        <v>31290</v>
      </c>
      <c r="V60" s="50">
        <f t="shared" si="13"/>
        <v>31290</v>
      </c>
      <c r="W60" s="50">
        <f t="shared" si="7"/>
        <v>187740</v>
      </c>
      <c r="X60" s="50">
        <f t="shared" si="14"/>
        <v>71810.55</v>
      </c>
      <c r="Y60" s="51">
        <f t="shared" si="8"/>
        <v>400355.55</v>
      </c>
      <c r="Z60" s="52">
        <f t="shared" si="9"/>
        <v>7109244.45</v>
      </c>
      <c r="AA60" s="50"/>
      <c r="AB60" s="53">
        <f t="shared" si="10"/>
        <v>104300</v>
      </c>
      <c r="AC60" s="53"/>
    </row>
    <row r="61" spans="1:29" s="38" customFormat="1" ht="19.5" customHeight="1">
      <c r="A61" s="39">
        <f>IF(B61="","",MAX($A60:A60)+1)</f>
        <v>53</v>
      </c>
      <c r="B61" s="57" t="s">
        <v>97</v>
      </c>
      <c r="C61" s="70" t="s">
        <v>98</v>
      </c>
      <c r="D61" s="69">
        <v>2.22</v>
      </c>
      <c r="E61" s="43"/>
      <c r="F61" s="44"/>
      <c r="G61" s="61">
        <f t="shared" si="11"/>
        <v>0</v>
      </c>
      <c r="H61" s="45"/>
      <c r="I61" s="46">
        <f t="shared" si="0"/>
        <v>0</v>
      </c>
      <c r="J61" s="46"/>
      <c r="K61" s="46"/>
      <c r="L61" s="46"/>
      <c r="M61" s="43"/>
      <c r="N61" s="43"/>
      <c r="O61" s="48">
        <f t="shared" si="1"/>
        <v>2.22</v>
      </c>
      <c r="P61" s="49">
        <f t="shared" si="2"/>
        <v>3307800.0000000005</v>
      </c>
      <c r="Q61" s="50">
        <f t="shared" si="3"/>
        <v>578865</v>
      </c>
      <c r="R61" s="50">
        <f>SUM(D61:E61,I61,G61)*1490000*8%</f>
        <v>264624.00000000006</v>
      </c>
      <c r="S61" s="50">
        <f t="shared" si="5"/>
        <v>99234.00000000001</v>
      </c>
      <c r="T61" s="50">
        <f t="shared" si="6"/>
        <v>49617.00000000001</v>
      </c>
      <c r="U61" s="50">
        <f t="shared" si="12"/>
        <v>33078.00000000001</v>
      </c>
      <c r="V61" s="50">
        <f t="shared" si="13"/>
        <v>33078.00000000001</v>
      </c>
      <c r="W61" s="50">
        <f t="shared" si="7"/>
        <v>198468.00000000006</v>
      </c>
      <c r="X61" s="50">
        <f t="shared" si="14"/>
        <v>29604.810000000005</v>
      </c>
      <c r="Y61" s="51">
        <f t="shared" si="8"/>
        <v>376923.81000000006</v>
      </c>
      <c r="Z61" s="52">
        <f t="shared" si="9"/>
        <v>2930876.1900000004</v>
      </c>
      <c r="AA61" s="50"/>
      <c r="AB61" s="53">
        <f t="shared" si="10"/>
        <v>110260.00000000001</v>
      </c>
      <c r="AC61" s="53"/>
    </row>
    <row r="62" spans="1:29" s="38" customFormat="1" ht="19.5" customHeight="1">
      <c r="A62" s="39">
        <f>IF(B62="","",MAX($A61:A61)+1)</f>
        <v>54</v>
      </c>
      <c r="B62" s="71" t="s">
        <v>99</v>
      </c>
      <c r="C62" s="72">
        <v>0</v>
      </c>
      <c r="D62" s="69">
        <v>2.06</v>
      </c>
      <c r="E62" s="43"/>
      <c r="F62" s="44"/>
      <c r="G62" s="61">
        <f t="shared" si="11"/>
        <v>0</v>
      </c>
      <c r="H62" s="45"/>
      <c r="I62" s="46">
        <f t="shared" si="0"/>
        <v>0</v>
      </c>
      <c r="J62" s="46"/>
      <c r="K62" s="46">
        <f>(D62+E62)*0.2</f>
        <v>0.41200000000000003</v>
      </c>
      <c r="L62" s="46"/>
      <c r="M62" s="43"/>
      <c r="N62" s="43"/>
      <c r="O62" s="48">
        <f t="shared" si="1"/>
        <v>2.472</v>
      </c>
      <c r="P62" s="49">
        <f t="shared" si="2"/>
        <v>3683280</v>
      </c>
      <c r="Q62" s="50">
        <f t="shared" si="3"/>
        <v>537145</v>
      </c>
      <c r="R62" s="50">
        <f>SUM(D62:E62,I62,G62)*1490000*8%</f>
        <v>245552</v>
      </c>
      <c r="S62" s="50">
        <f t="shared" si="5"/>
        <v>92082</v>
      </c>
      <c r="T62" s="50">
        <f t="shared" si="6"/>
        <v>46041</v>
      </c>
      <c r="U62" s="50">
        <f t="shared" si="12"/>
        <v>30694</v>
      </c>
      <c r="V62" s="50">
        <f t="shared" si="13"/>
        <v>30694</v>
      </c>
      <c r="W62" s="50">
        <f>SUM(D62:E62,G62,I62)*1490000*2%</f>
        <v>61388</v>
      </c>
      <c r="X62" s="50">
        <f t="shared" si="14"/>
        <v>33609.93</v>
      </c>
      <c r="Y62" s="51">
        <f t="shared" si="8"/>
        <v>355896.93</v>
      </c>
      <c r="Z62" s="52">
        <f t="shared" si="9"/>
        <v>3327383.07</v>
      </c>
      <c r="AA62" s="50"/>
      <c r="AB62" s="53">
        <f t="shared" si="10"/>
        <v>102313.33333333333</v>
      </c>
      <c r="AC62" s="53"/>
    </row>
    <row r="63" spans="1:29" s="38" customFormat="1" ht="19.5" customHeight="1">
      <c r="A63" s="39">
        <f>IF(B63="","",MAX($A62:A62)+1)</f>
        <v>55</v>
      </c>
      <c r="B63" s="73" t="s">
        <v>100</v>
      </c>
      <c r="C63" s="41" t="s">
        <v>47</v>
      </c>
      <c r="D63" s="69">
        <v>2.41</v>
      </c>
      <c r="E63" s="43"/>
      <c r="F63" s="44"/>
      <c r="G63" s="61">
        <f>D63*F63</f>
        <v>0</v>
      </c>
      <c r="H63" s="45">
        <v>0.05</v>
      </c>
      <c r="I63" s="46">
        <f t="shared" si="0"/>
        <v>0.12050000000000001</v>
      </c>
      <c r="J63" s="46"/>
      <c r="K63" s="74">
        <f>(D63+E63)*0.3</f>
        <v>0.723</v>
      </c>
      <c r="L63" s="46"/>
      <c r="M63" s="43"/>
      <c r="N63" s="43"/>
      <c r="O63" s="48">
        <f t="shared" si="1"/>
        <v>3.2535</v>
      </c>
      <c r="P63" s="49">
        <f t="shared" si="2"/>
        <v>4847715</v>
      </c>
      <c r="Q63" s="50">
        <f t="shared" si="3"/>
        <v>659827.875</v>
      </c>
      <c r="R63" s="50">
        <f t="shared" si="4"/>
        <v>301635.60000000003</v>
      </c>
      <c r="S63" s="50">
        <f t="shared" si="5"/>
        <v>113113.34999999999</v>
      </c>
      <c r="T63" s="50">
        <f t="shared" si="6"/>
        <v>56556.674999999996</v>
      </c>
      <c r="U63" s="50">
        <f t="shared" si="12"/>
        <v>37704.450000000004</v>
      </c>
      <c r="V63" s="50">
        <f>SUM(D63:E63,G63,I63)*1490000*1%</f>
        <v>37704.450000000004</v>
      </c>
      <c r="W63" s="50">
        <f t="shared" si="7"/>
        <v>226226.7</v>
      </c>
      <c r="X63" s="50">
        <f>(P63-(R63+T63+V63))*1%</f>
        <v>44518.18275000001</v>
      </c>
      <c r="Y63" s="51">
        <f t="shared" si="8"/>
        <v>440414.90775</v>
      </c>
      <c r="Z63" s="52">
        <f>P63-Y63</f>
        <v>4407300.09225</v>
      </c>
      <c r="AA63" s="75"/>
      <c r="AB63" s="53">
        <f t="shared" si="10"/>
        <v>125681.5</v>
      </c>
      <c r="AC63" s="53"/>
    </row>
    <row r="64" spans="1:29" s="38" customFormat="1" ht="19.5" customHeight="1">
      <c r="A64" s="39">
        <f>IF(B64="","",MAX($A63:A63)+1)</f>
        <v>56</v>
      </c>
      <c r="B64" s="76" t="s">
        <v>101</v>
      </c>
      <c r="C64" s="77" t="s">
        <v>47</v>
      </c>
      <c r="D64" s="69">
        <f>2.1*0.85</f>
        <v>1.785</v>
      </c>
      <c r="E64" s="43"/>
      <c r="F64" s="44"/>
      <c r="G64" s="61"/>
      <c r="H64" s="45"/>
      <c r="I64" s="46"/>
      <c r="J64" s="46"/>
      <c r="K64" s="46">
        <f>(D64+E64)*0.3</f>
        <v>0.5355</v>
      </c>
      <c r="L64" s="46"/>
      <c r="M64" s="43"/>
      <c r="N64" s="43"/>
      <c r="O64" s="48">
        <f t="shared" si="1"/>
        <v>2.3205</v>
      </c>
      <c r="P64" s="49">
        <f>O64*1490000</f>
        <v>3457545</v>
      </c>
      <c r="Q64" s="50">
        <f t="shared" si="3"/>
        <v>465438.74999999994</v>
      </c>
      <c r="R64" s="50">
        <f>SUM(D64:E64,I64,G64)*1490000*8%</f>
        <v>212772</v>
      </c>
      <c r="S64" s="50">
        <f>SUM(D64:E64,G64,I64)*1490000*3%</f>
        <v>79789.5</v>
      </c>
      <c r="T64" s="50">
        <f>SUM(D64:E64,G64,I64)*1490000*1.5%</f>
        <v>39894.75</v>
      </c>
      <c r="U64" s="50">
        <f>SUM(D64:E64,G64,I64)*1490000*1%</f>
        <v>26596.5</v>
      </c>
      <c r="V64" s="50">
        <f>SUM(D64:E64,G64,I64)*1490000*1%</f>
        <v>26596.5</v>
      </c>
      <c r="W64" s="50">
        <f>SUM(D64:E64,G64,I64)*1490000*2%*3</f>
        <v>159579</v>
      </c>
      <c r="X64" s="50">
        <f t="shared" si="14"/>
        <v>31782.8175</v>
      </c>
      <c r="Y64" s="51">
        <f>R64+T64+V64+X64</f>
        <v>311046.0675</v>
      </c>
      <c r="Z64" s="52">
        <f>P64-Y64</f>
        <v>3146498.9325</v>
      </c>
      <c r="AA64" s="78"/>
      <c r="AB64" s="53"/>
      <c r="AC64" s="53"/>
    </row>
    <row r="65" spans="1:29" s="85" customFormat="1" ht="19.5" customHeight="1">
      <c r="A65" s="79"/>
      <c r="B65" s="80" t="s">
        <v>102</v>
      </c>
      <c r="C65" s="81"/>
      <c r="D65" s="82">
        <f>SUM(D9:D64)</f>
        <v>208.51500000000007</v>
      </c>
      <c r="E65" s="82">
        <f aca="true" t="shared" si="17" ref="E65:K65">SUM(E9:E64)</f>
        <v>2.8000000000000003</v>
      </c>
      <c r="F65" s="82">
        <f t="shared" si="17"/>
        <v>0.6200000000000001</v>
      </c>
      <c r="G65" s="82">
        <f t="shared" si="17"/>
        <v>2.5172</v>
      </c>
      <c r="H65" s="82">
        <f t="shared" si="17"/>
        <v>8.76</v>
      </c>
      <c r="I65" s="82">
        <f t="shared" si="17"/>
        <v>36.330884000000005</v>
      </c>
      <c r="J65" s="82">
        <f t="shared" si="17"/>
        <v>30.587549999999993</v>
      </c>
      <c r="K65" s="82">
        <f t="shared" si="17"/>
        <v>71.30052000000003</v>
      </c>
      <c r="L65" s="82">
        <f>SUM(L9:L64)</f>
        <v>26.495</v>
      </c>
      <c r="M65" s="82">
        <f>SUM(M9:M64)</f>
        <v>0.7</v>
      </c>
      <c r="N65" s="82">
        <f>SUM(N9:N64)</f>
        <v>0.4</v>
      </c>
      <c r="O65" s="82">
        <f>SUM(O9:O64)-O52</f>
        <v>371.1959539999999</v>
      </c>
      <c r="P65" s="51">
        <f>SUM(P9:P64)</f>
        <v>560696169.46</v>
      </c>
      <c r="Q65" s="51">
        <f aca="true" t="shared" si="18" ref="Q65:Y65">SUM(Q9:Q64)</f>
        <v>65230024.15299999</v>
      </c>
      <c r="R65" s="51">
        <f>SUM(R9:R64)</f>
        <v>29819439.6128</v>
      </c>
      <c r="S65" s="51">
        <f t="shared" si="18"/>
        <v>11182289.854799993</v>
      </c>
      <c r="T65" s="51">
        <f t="shared" si="18"/>
        <v>5591144.927399997</v>
      </c>
      <c r="U65" s="51">
        <f t="shared" si="18"/>
        <v>3640725.3616</v>
      </c>
      <c r="V65" s="51">
        <f>SUM(V9:V64)</f>
        <v>3640725.3616</v>
      </c>
      <c r="W65" s="51">
        <f>SUM(W9:W64)</f>
        <v>22241803.709599987</v>
      </c>
      <c r="X65" s="51">
        <f>SUM(X9:X64)</f>
        <v>5216448.595581998</v>
      </c>
      <c r="Y65" s="51">
        <f t="shared" si="18"/>
        <v>44267758.497382</v>
      </c>
      <c r="Z65" s="51">
        <f>SUM(Z9:Z64)</f>
        <v>516428411.9626179</v>
      </c>
      <c r="AA65" s="83"/>
      <c r="AB65" s="53">
        <f t="shared" si="10"/>
        <v>12299745.572000004</v>
      </c>
      <c r="AC65" s="84"/>
    </row>
    <row r="66" spans="2:28" ht="28.5" customHeight="1">
      <c r="B66" s="86"/>
      <c r="C66" s="86"/>
      <c r="E66" s="87"/>
      <c r="F66" s="87"/>
      <c r="G66" s="88"/>
      <c r="I66" s="89"/>
      <c r="J66" s="89"/>
      <c r="K66" s="89"/>
      <c r="M66" s="1"/>
      <c r="O66" s="90"/>
      <c r="P66" s="90"/>
      <c r="Q66" s="91"/>
      <c r="R66" s="90"/>
      <c r="U66" s="92"/>
      <c r="Y66" s="93"/>
      <c r="Z66" s="93"/>
      <c r="AB66" s="53"/>
    </row>
    <row r="67" spans="1:28" ht="21" customHeight="1">
      <c r="A67" s="5"/>
      <c r="B67" s="5"/>
      <c r="C67" s="5"/>
      <c r="D67" s="5"/>
      <c r="E67" s="86"/>
      <c r="F67" s="94" t="s">
        <v>103</v>
      </c>
      <c r="G67" s="38"/>
      <c r="H67" s="38"/>
      <c r="I67" s="95"/>
      <c r="J67" s="96" t="s">
        <v>104</v>
      </c>
      <c r="K67" s="38"/>
      <c r="L67" s="97"/>
      <c r="M67" s="98"/>
      <c r="N67" s="98"/>
      <c r="O67" s="98"/>
      <c r="P67" s="98"/>
      <c r="Q67" s="99"/>
      <c r="R67" s="99"/>
      <c r="U67" s="100" t="s">
        <v>105</v>
      </c>
      <c r="V67" s="100"/>
      <c r="W67" s="100"/>
      <c r="X67" s="100"/>
      <c r="Y67" s="100"/>
      <c r="Z67" s="100"/>
      <c r="AA67" s="100"/>
      <c r="AB67" s="53">
        <f t="shared" si="10"/>
        <v>0</v>
      </c>
    </row>
    <row r="68" spans="1:28" s="110" customFormat="1" ht="15.75" customHeight="1">
      <c r="A68" s="101" t="s">
        <v>106</v>
      </c>
      <c r="B68" s="101"/>
      <c r="C68" s="101"/>
      <c r="D68" s="101"/>
      <c r="E68" s="102"/>
      <c r="F68" s="103" t="s">
        <v>107</v>
      </c>
      <c r="G68" s="104"/>
      <c r="H68" s="105"/>
      <c r="I68" s="2"/>
      <c r="J68" s="106" t="s">
        <v>108</v>
      </c>
      <c r="K68" s="106"/>
      <c r="L68" s="106"/>
      <c r="M68" s="107"/>
      <c r="N68" s="108"/>
      <c r="O68" s="107"/>
      <c r="P68" s="107"/>
      <c r="Q68" s="85"/>
      <c r="R68" s="109"/>
      <c r="U68" s="111" t="s">
        <v>109</v>
      </c>
      <c r="V68" s="111"/>
      <c r="W68" s="111"/>
      <c r="X68" s="111"/>
      <c r="Y68" s="111"/>
      <c r="Z68" s="111"/>
      <c r="AA68" s="111"/>
      <c r="AB68" s="53">
        <f t="shared" si="10"/>
        <v>0</v>
      </c>
    </row>
    <row r="69" spans="2:18" ht="16.5" customHeight="1">
      <c r="B69" s="112"/>
      <c r="C69" s="112"/>
      <c r="E69" s="113"/>
      <c r="F69" s="105"/>
      <c r="G69" s="105"/>
      <c r="H69" s="105"/>
      <c r="I69" s="114"/>
      <c r="J69" s="115" t="s">
        <v>110</v>
      </c>
      <c r="K69" s="112"/>
      <c r="L69" s="112"/>
      <c r="M69" s="91"/>
      <c r="O69" s="116"/>
      <c r="P69" s="116"/>
      <c r="Q69" s="117"/>
      <c r="R69" s="118"/>
    </row>
    <row r="70" spans="2:18" ht="16.5" customHeight="1">
      <c r="B70" s="112"/>
      <c r="C70" s="112"/>
      <c r="D70" s="112"/>
      <c r="E70" s="120"/>
      <c r="F70" s="104"/>
      <c r="G70" s="121"/>
      <c r="H70" s="104"/>
      <c r="I70" s="122"/>
      <c r="J70" s="2" t="s">
        <v>111</v>
      </c>
      <c r="L70" s="123"/>
      <c r="M70" s="99"/>
      <c r="N70" s="5"/>
      <c r="O70" s="124"/>
      <c r="P70" s="124"/>
      <c r="Q70" s="125">
        <f>Q69*1210000</f>
        <v>0</v>
      </c>
      <c r="R70" s="126">
        <f>Q69*280000</f>
        <v>0</v>
      </c>
    </row>
    <row r="71" spans="2:18" ht="16.5" customHeight="1">
      <c r="B71" s="112"/>
      <c r="C71" s="112"/>
      <c r="E71" s="113"/>
      <c r="F71" s="104"/>
      <c r="G71" s="121"/>
      <c r="H71" s="104"/>
      <c r="I71" s="122"/>
      <c r="J71" s="2" t="s">
        <v>112</v>
      </c>
      <c r="L71" s="123"/>
      <c r="M71" s="99"/>
      <c r="N71" s="5"/>
      <c r="O71" s="124"/>
      <c r="P71" s="124"/>
      <c r="Q71" s="5"/>
      <c r="R71" s="126"/>
    </row>
    <row r="72" spans="2:18" ht="18" customHeight="1">
      <c r="B72" s="127"/>
      <c r="C72" s="128"/>
      <c r="D72" s="128"/>
      <c r="E72" s="120"/>
      <c r="F72" s="129"/>
      <c r="G72" s="130"/>
      <c r="H72" s="109"/>
      <c r="I72" s="131"/>
      <c r="J72" s="115" t="s">
        <v>113</v>
      </c>
      <c r="K72" s="109"/>
      <c r="L72" s="98"/>
      <c r="M72" s="129"/>
      <c r="N72" s="85"/>
      <c r="O72" s="132"/>
      <c r="P72" s="132"/>
      <c r="Q72" s="5"/>
      <c r="R72" s="126"/>
    </row>
    <row r="73" spans="5:18" ht="18.75" customHeight="1">
      <c r="E73" s="133"/>
      <c r="F73" s="134"/>
      <c r="G73" s="135"/>
      <c r="H73" s="135"/>
      <c r="I73" s="131"/>
      <c r="J73" s="115" t="s">
        <v>114</v>
      </c>
      <c r="K73" s="135"/>
      <c r="L73" s="135"/>
      <c r="M73" s="5"/>
      <c r="N73" s="5"/>
      <c r="O73" s="133"/>
      <c r="P73" s="136"/>
      <c r="Q73" s="99"/>
      <c r="R73" s="99"/>
    </row>
    <row r="74" spans="6:20" ht="15.75">
      <c r="F74" s="137"/>
      <c r="G74" s="138"/>
      <c r="H74" s="5"/>
      <c r="I74" s="131"/>
      <c r="J74" s="115" t="s">
        <v>115</v>
      </c>
      <c r="K74" s="139"/>
      <c r="L74" s="5"/>
      <c r="N74" s="5"/>
      <c r="O74" s="140"/>
      <c r="P74" s="141"/>
      <c r="Q74" s="5"/>
      <c r="R74" s="5"/>
      <c r="S74" s="5"/>
      <c r="T74" s="5"/>
    </row>
    <row r="75" spans="2:20" ht="15.75">
      <c r="B75" s="112"/>
      <c r="C75" s="112"/>
      <c r="F75" s="137"/>
      <c r="G75" s="142"/>
      <c r="H75" s="139"/>
      <c r="I75" s="137"/>
      <c r="J75" s="137" t="s">
        <v>116</v>
      </c>
      <c r="K75" s="139"/>
      <c r="L75" s="5"/>
      <c r="M75" s="5"/>
      <c r="N75" s="5"/>
      <c r="O75" s="140"/>
      <c r="Q75" s="5"/>
      <c r="R75" s="5"/>
      <c r="S75" s="5"/>
      <c r="T75" s="5"/>
    </row>
    <row r="76" spans="2:20" ht="17.25" customHeight="1">
      <c r="B76" s="112"/>
      <c r="C76" s="112"/>
      <c r="F76" s="143"/>
      <c r="G76" s="144"/>
      <c r="H76" s="144"/>
      <c r="I76" s="145"/>
      <c r="J76" s="145"/>
      <c r="K76" s="145"/>
      <c r="L76" s="146"/>
      <c r="M76" s="146"/>
      <c r="N76" s="5"/>
      <c r="O76" s="140"/>
      <c r="Q76" s="5"/>
      <c r="R76" s="5"/>
      <c r="S76" s="5"/>
      <c r="T76" s="5"/>
    </row>
    <row r="77" spans="2:20" ht="15.75">
      <c r="B77" s="112"/>
      <c r="C77" s="112"/>
      <c r="F77" s="143"/>
      <c r="G77" s="144"/>
      <c r="H77" s="144"/>
      <c r="I77" s="145"/>
      <c r="J77" s="145"/>
      <c r="K77" s="145"/>
      <c r="L77" s="146"/>
      <c r="M77" s="146"/>
      <c r="Q77" s="5"/>
      <c r="R77" s="5"/>
      <c r="S77" s="5"/>
      <c r="T77" s="5"/>
    </row>
    <row r="78" spans="2:20" ht="15.75">
      <c r="B78" s="112"/>
      <c r="C78" s="112"/>
      <c r="F78" s="147"/>
      <c r="G78" s="148"/>
      <c r="H78" s="140"/>
      <c r="I78" s="149"/>
      <c r="J78" s="149"/>
      <c r="K78" s="140"/>
      <c r="M78" s="147"/>
      <c r="N78" s="140"/>
      <c r="O78" s="140"/>
      <c r="Q78" s="5"/>
      <c r="R78" s="5"/>
      <c r="S78" s="5"/>
      <c r="T78" s="5"/>
    </row>
    <row r="79" spans="2:20" ht="15.75">
      <c r="B79" s="112"/>
      <c r="C79" s="112"/>
      <c r="F79" s="147"/>
      <c r="G79" s="140"/>
      <c r="H79" s="140"/>
      <c r="I79" s="150"/>
      <c r="J79" s="150"/>
      <c r="K79" s="140"/>
      <c r="M79" s="151"/>
      <c r="N79" s="140"/>
      <c r="O79" s="140"/>
      <c r="Q79" s="5"/>
      <c r="R79" s="5"/>
      <c r="S79" s="5"/>
      <c r="T79" s="5"/>
    </row>
    <row r="80" spans="2:20" ht="15.75">
      <c r="B80" s="112"/>
      <c r="C80" s="112"/>
      <c r="F80" s="147"/>
      <c r="G80" s="140"/>
      <c r="H80" s="140"/>
      <c r="I80" s="150"/>
      <c r="J80" s="150"/>
      <c r="K80" s="140"/>
      <c r="M80" s="147"/>
      <c r="N80" s="140"/>
      <c r="O80" s="140"/>
      <c r="Q80" s="5"/>
      <c r="R80" s="5"/>
      <c r="S80" s="5"/>
      <c r="T80" s="5"/>
    </row>
    <row r="81" spans="6:20" ht="15.75">
      <c r="F81" s="150"/>
      <c r="G81" s="140"/>
      <c r="H81" s="140"/>
      <c r="J81" s="2" t="s">
        <v>1</v>
      </c>
      <c r="Q81" s="5"/>
      <c r="R81" s="5"/>
      <c r="S81" s="5"/>
      <c r="T81" s="5"/>
    </row>
    <row r="82" spans="6:20" ht="15.75">
      <c r="F82" s="150"/>
      <c r="G82" s="140"/>
      <c r="H82" s="140"/>
      <c r="Q82" s="5"/>
      <c r="R82" s="5"/>
      <c r="S82" s="5"/>
      <c r="T82" s="5"/>
    </row>
    <row r="83" spans="6:20" ht="15.75">
      <c r="F83" s="150"/>
      <c r="G83" s="140"/>
      <c r="H83" s="140"/>
      <c r="Q83" s="5"/>
      <c r="R83" s="5"/>
      <c r="S83" s="5"/>
      <c r="T83" s="5"/>
    </row>
    <row r="84" spans="6:20" ht="15.75">
      <c r="F84" s="149"/>
      <c r="G84" s="140"/>
      <c r="H84" s="140"/>
      <c r="Q84" s="5"/>
      <c r="R84" s="5"/>
      <c r="S84" s="5"/>
      <c r="T84" s="5"/>
    </row>
    <row r="85" spans="6:20" ht="15.75">
      <c r="F85" s="150"/>
      <c r="G85" s="140"/>
      <c r="H85" s="140"/>
      <c r="P85" s="152"/>
      <c r="Q85" s="5"/>
      <c r="R85" s="5"/>
      <c r="S85" s="5"/>
      <c r="T85" s="5"/>
    </row>
    <row r="86" spans="6:20" ht="15.75">
      <c r="F86" s="150"/>
      <c r="G86" s="140"/>
      <c r="H86" s="140"/>
      <c r="P86" s="152"/>
      <c r="Q86" s="5"/>
      <c r="R86" s="5"/>
      <c r="S86" s="5"/>
      <c r="T86" s="5"/>
    </row>
    <row r="87" spans="6:20" ht="15.75">
      <c r="F87" s="150"/>
      <c r="G87" s="140"/>
      <c r="H87" s="140"/>
      <c r="P87" s="152"/>
      <c r="Q87" s="5"/>
      <c r="R87" s="5"/>
      <c r="S87" s="5"/>
      <c r="T87" s="5"/>
    </row>
    <row r="88" spans="6:20" ht="15.75">
      <c r="F88" s="149"/>
      <c r="G88" s="140"/>
      <c r="H88" s="140"/>
      <c r="P88" s="153"/>
      <c r="Q88" s="5"/>
      <c r="R88" s="5"/>
      <c r="S88" s="5"/>
      <c r="T88" s="5"/>
    </row>
    <row r="89" spans="6:20" ht="15.75">
      <c r="F89" s="149"/>
      <c r="G89" s="140"/>
      <c r="H89" s="140"/>
      <c r="Q89" s="5"/>
      <c r="R89" s="5"/>
      <c r="S89" s="5"/>
      <c r="T89" s="5"/>
    </row>
    <row r="90" spans="6:20" ht="15.75">
      <c r="F90" s="147"/>
      <c r="G90" s="140"/>
      <c r="H90" s="140"/>
      <c r="Q90" s="5"/>
      <c r="R90" s="5"/>
      <c r="S90" s="5"/>
      <c r="T90" s="5"/>
    </row>
    <row r="91" spans="6:17" ht="15.75">
      <c r="F91" s="151"/>
      <c r="G91" s="140"/>
      <c r="H91" s="140"/>
      <c r="Q91" s="5"/>
    </row>
    <row r="92" spans="6:8" ht="15.75">
      <c r="F92" s="147"/>
      <c r="G92" s="140"/>
      <c r="H92" s="140"/>
    </row>
  </sheetData>
  <sheetProtection/>
  <mergeCells count="20">
    <mergeCell ref="G77:H77"/>
    <mergeCell ref="I77:K77"/>
    <mergeCell ref="L77:M77"/>
    <mergeCell ref="AA6:AA7"/>
    <mergeCell ref="E66:F66"/>
    <mergeCell ref="U67:AA67"/>
    <mergeCell ref="A68:D68"/>
    <mergeCell ref="U68:AA68"/>
    <mergeCell ref="G76:H76"/>
    <mergeCell ref="I76:K76"/>
    <mergeCell ref="L76:M76"/>
    <mergeCell ref="H2:I2"/>
    <mergeCell ref="V2:Y4"/>
    <mergeCell ref="A4:U4"/>
    <mergeCell ref="A5:U5"/>
    <mergeCell ref="Q6:R6"/>
    <mergeCell ref="S6:T6"/>
    <mergeCell ref="U6:V6"/>
    <mergeCell ref="W6:X6"/>
    <mergeCell ref="Y6:Y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2020-03-02T11:01:44Z</dcterms:created>
  <dcterms:modified xsi:type="dcterms:W3CDTF">2020-03-02T11:05:54Z</dcterms:modified>
  <cp:category/>
  <cp:version/>
  <cp:contentType/>
  <cp:contentStatus/>
</cp:coreProperties>
</file>